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渠道工程数量表" sheetId="2" r:id="rId1"/>
    <sheet name="道路工程数量表" sheetId="3" r:id="rId2"/>
  </sheets>
  <definedNames>
    <definedName name="_xlnm.Print_Area" localSheetId="0">渠道工程数量表!$A$1:$Y$50</definedName>
    <definedName name="_xlnm.Print_Area" localSheetId="1">道路工程数量表!$A$1:$S$26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<sst xmlns="http://schemas.openxmlformats.org/spreadsheetml/2006/main" count="180" uniqueCount="67">
  <si>
    <t>长山弄水库至吉山村排洪渠工程数量表</t>
  </si>
  <si>
    <t>渠道名称</t>
  </si>
  <si>
    <t>序号</t>
  </si>
  <si>
    <t>起点</t>
  </si>
  <si>
    <t>终点</t>
  </si>
  <si>
    <t>长度(m)</t>
  </si>
  <si>
    <t>宽度（m）</t>
  </si>
  <si>
    <t>深度（m）</t>
  </si>
  <si>
    <t>左渠壁宽（m）</t>
  </si>
  <si>
    <t>右渠壁宽（m）</t>
  </si>
  <si>
    <t>底板厚度（m）</t>
  </si>
  <si>
    <t>清淤（m³）</t>
  </si>
  <si>
    <t>土方开挖（m³）</t>
  </si>
  <si>
    <t>填方   （三类土）（m³）</t>
  </si>
  <si>
    <t>C20砼底板150厚（m³）</t>
  </si>
  <si>
    <t>级配碎石垫层100厚（m³）</t>
  </si>
  <si>
    <t>C20砼渠壁350厚（m³）</t>
  </si>
  <si>
    <t>C20砼渠壁300厚（m³）</t>
  </si>
  <si>
    <t>C20砼渠壁400厚（m³）</t>
  </si>
  <si>
    <t>1:2沥青砂浆沉降缝（㎡）</t>
  </si>
  <si>
    <t>1:2沥青砂浆伸缩缝（㎡）</t>
  </si>
  <si>
    <t>渠道衬砌钢模板安、制、拆（㎡）</t>
  </si>
  <si>
    <t>基础换填300厚片石（㎡）</t>
  </si>
  <si>
    <t>备注</t>
  </si>
  <si>
    <t>长山弄水库至
吉山村排洪渠</t>
  </si>
  <si>
    <t>原有涵洞</t>
  </si>
  <si>
    <t>原有盖板涵</t>
  </si>
  <si>
    <t>原有渠道</t>
  </si>
  <si>
    <t>合计</t>
  </si>
  <si>
    <t>—</t>
  </si>
  <si>
    <t>秀才至吉山新村灌溉引水渠道数量表</t>
  </si>
  <si>
    <t>C20砼底板100厚（m³）</t>
  </si>
  <si>
    <t>C20砼渠壁200厚（m³）</t>
  </si>
  <si>
    <t>秀才至吉山新村
灌溉引水渠道</t>
  </si>
  <si>
    <t>余家新村半田沟至四安沟口灌溉引水渠道数量表</t>
  </si>
  <si>
    <t>余家新村半田沟至四安沟口灌溉引水渠道</t>
  </si>
  <si>
    <t>秧家至凉伞坝道路数量表</t>
  </si>
  <si>
    <t>总长度（m）</t>
  </si>
  <si>
    <t>桩号里程</t>
  </si>
  <si>
    <t>里程数（m）</t>
  </si>
  <si>
    <t>设计路面宽（m）</t>
  </si>
  <si>
    <t>设计路基宽（m）</t>
  </si>
  <si>
    <t>单侧路肩宽度（m）</t>
  </si>
  <si>
    <t>边坡排水沟</t>
  </si>
  <si>
    <t>路面材料</t>
  </si>
  <si>
    <t>土石方开挖（含排水沟）（m³）</t>
  </si>
  <si>
    <t>路肩</t>
  </si>
  <si>
    <t>路基</t>
  </si>
  <si>
    <t>路面</t>
  </si>
  <si>
    <t>培土路肩（m³）</t>
  </si>
  <si>
    <t>左侧硬路肩</t>
  </si>
  <si>
    <t>右侧硬路肩</t>
  </si>
  <si>
    <t>路床清表（㎡）</t>
  </si>
  <si>
    <t>100厚碎石垫层（㎡）</t>
  </si>
  <si>
    <t>180厚C25砼路面（㎡）</t>
  </si>
  <si>
    <t>K0+000-K1+506</t>
  </si>
  <si>
    <t>C25砼路面</t>
  </si>
  <si>
    <t>K1+506-K1+590</t>
  </si>
  <si>
    <t>小计</t>
  </si>
  <si>
    <t>-</t>
  </si>
  <si>
    <t>马鞍白岭脚到畔田垒道路数量表</t>
  </si>
  <si>
    <t>挖方（m³）</t>
  </si>
  <si>
    <t>K0+000-K0+350</t>
  </si>
  <si>
    <t>K0+210-K0+236</t>
  </si>
  <si>
    <t>片石</t>
  </si>
  <si>
    <t>K0+236-K0+256</t>
  </si>
  <si>
    <t>K0+256-K0+277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</si>
</sst>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6" borderId="28" applyNumberFormat="0" applyAlignment="0" applyProtection="0">
      <alignment vertical="center"/>
    </xf>
    <xf numFmtId="0" fontId="18" fillId="6" borderId="27" applyNumberFormat="0" applyAlignment="0" applyProtection="0">
      <alignment vertical="center"/>
    </xf>
    <xf numFmtId="0" fontId="19" fillId="7" borderId="29" applyNumberFormat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center" vertical="center" wrapText="1"/>
    </xf>
    <xf numFmtId="177" fontId="1" fillId="0" borderId="8" xfId="0" applyNumberFormat="1" applyFont="1" applyBorder="1" applyAlignment="1">
      <alignment horizontal="center" vertical="center" wrapText="1"/>
    </xf>
    <xf numFmtId="177" fontId="1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 wrapText="1"/>
    </xf>
    <xf numFmtId="177" fontId="1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76" fontId="1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177" fontId="5" fillId="0" borderId="0" xfId="0" applyNumberFormat="1" applyFont="1">
      <alignment vertical="center"/>
    </xf>
    <xf numFmtId="0" fontId="4" fillId="0" borderId="15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 wrapText="1"/>
    </xf>
    <xf numFmtId="0" fontId="5" fillId="3" borderId="15" xfId="0" applyFont="1" applyFill="1" applyBorder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177" fontId="1" fillId="3" borderId="6" xfId="0" applyNumberFormat="1" applyFont="1" applyFill="1" applyBorder="1" applyAlignment="1">
      <alignment horizontal="center" vertical="center"/>
    </xf>
    <xf numFmtId="176" fontId="1" fillId="3" borderId="6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20" xfId="0" applyFont="1" applyBorder="1">
      <alignment vertical="center"/>
    </xf>
    <xf numFmtId="177" fontId="5" fillId="0" borderId="20" xfId="0" applyNumberFormat="1" applyFont="1" applyBorder="1">
      <alignment vertical="center"/>
    </xf>
    <xf numFmtId="177" fontId="5" fillId="2" borderId="0" xfId="0" applyNumberFormat="1" applyFont="1" applyFill="1">
      <alignment vertical="center"/>
    </xf>
    <xf numFmtId="0" fontId="6" fillId="0" borderId="0" xfId="0" applyFont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 wrapText="1"/>
    </xf>
    <xf numFmtId="176" fontId="1" fillId="3" borderId="16" xfId="0" applyNumberFormat="1" applyFont="1" applyFill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176" fontId="1" fillId="3" borderId="15" xfId="0" applyNumberFormat="1" applyFont="1" applyFill="1" applyBorder="1" applyAlignment="1">
      <alignment horizontal="center" vertical="center"/>
    </xf>
    <xf numFmtId="176" fontId="1" fillId="3" borderId="22" xfId="0" applyNumberFormat="1" applyFont="1" applyFill="1" applyBorder="1" applyAlignment="1">
      <alignment horizontal="center" vertical="center"/>
    </xf>
    <xf numFmtId="176" fontId="2" fillId="0" borderId="22" xfId="0" applyNumberFormat="1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76" fontId="1" fillId="3" borderId="23" xfId="0" applyNumberFormat="1" applyFont="1" applyFill="1" applyBorder="1" applyAlignment="1">
      <alignment horizontal="center"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>
    <tableStyle name="Invisible" pivot="0" table="0" count="0" xr9:uid="{3D75A50A-4231-4AEE-A19A-ABF35D4E7754}"/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49"/>
  <sheetViews>
    <sheetView tabSelected="1" view="pageBreakPreview" zoomScale="85" zoomScaleNormal="100" topLeftCell="A31" workbookViewId="0">
      <selection activeCell="B47" sqref="B47"/>
    </sheetView>
  </sheetViews>
  <sheetFormatPr defaultColWidth="9" defaultRowHeight="18" customHeight="1"/>
  <cols>
    <col min="1" max="1" width="9" style="47"/>
    <col min="2" max="2" width="12" style="47" customWidth="1"/>
    <col min="3" max="3" width="5.13333333333333" style="47" customWidth="1"/>
    <col min="4" max="4" width="9" style="49" customWidth="1"/>
    <col min="5" max="5" width="10.1333333333333" style="49" customWidth="1"/>
    <col min="6" max="6" width="9.46666666666667" style="49" customWidth="1"/>
    <col min="7" max="8" width="6.6" style="47" customWidth="1"/>
    <col min="9" max="13" width="8.6" style="47" customWidth="1"/>
    <col min="14" max="14" width="9.73333333333333" style="47" customWidth="1"/>
    <col min="15" max="17" width="8.6" style="47" customWidth="1"/>
    <col min="18" max="19" width="8.6" style="47" hidden="1" customWidth="1"/>
    <col min="20" max="21" width="8.6" style="47" customWidth="1"/>
    <col min="22" max="23" width="10.7333333333333" style="47" customWidth="1"/>
    <col min="24" max="24" width="14.5" style="47" customWidth="1"/>
    <col min="25" max="25" width="9.26666666666667" style="47" customWidth="1"/>
    <col min="26" max="26" width="9" style="47"/>
    <col min="27" max="27" width="9.46666666666667" style="47" customWidth="1"/>
    <col min="28" max="16384" width="9" style="47"/>
  </cols>
  <sheetData>
    <row r="2" s="45" customFormat="1" ht="28.9" customHeight="1" spans="1:25">
      <c r="A2" s="50"/>
      <c r="B2" s="51" t="s">
        <v>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73"/>
      <c r="X2" s="74"/>
      <c r="Y2" s="86"/>
    </row>
    <row r="3" ht="39.95" customHeight="1" spans="1:26">
      <c r="A3" s="53"/>
      <c r="B3" s="54" t="s">
        <v>1</v>
      </c>
      <c r="C3" s="55" t="s">
        <v>2</v>
      </c>
      <c r="D3" s="56" t="s">
        <v>3</v>
      </c>
      <c r="E3" s="56" t="s">
        <v>4</v>
      </c>
      <c r="F3" s="56" t="s">
        <v>5</v>
      </c>
      <c r="G3" s="57" t="s">
        <v>6</v>
      </c>
      <c r="H3" s="57" t="s">
        <v>7</v>
      </c>
      <c r="I3" s="57" t="s">
        <v>8</v>
      </c>
      <c r="J3" s="57" t="s">
        <v>9</v>
      </c>
      <c r="K3" s="57" t="s">
        <v>10</v>
      </c>
      <c r="L3" s="57" t="s">
        <v>11</v>
      </c>
      <c r="M3" s="57" t="s">
        <v>12</v>
      </c>
      <c r="N3" s="72" t="s">
        <v>13</v>
      </c>
      <c r="O3" s="57" t="s">
        <v>14</v>
      </c>
      <c r="P3" s="57" t="s">
        <v>15</v>
      </c>
      <c r="Q3" s="57" t="s">
        <v>16</v>
      </c>
      <c r="R3" s="57" t="s">
        <v>17</v>
      </c>
      <c r="S3" s="57" t="s">
        <v>18</v>
      </c>
      <c r="T3" s="57" t="s">
        <v>19</v>
      </c>
      <c r="U3" s="57" t="s">
        <v>20</v>
      </c>
      <c r="V3" s="57" t="s">
        <v>21</v>
      </c>
      <c r="W3" s="75" t="s">
        <v>22</v>
      </c>
      <c r="X3" s="76" t="s">
        <v>23</v>
      </c>
      <c r="Y3" s="87"/>
      <c r="Z3" s="88"/>
    </row>
    <row r="4" s="46" customFormat="1" ht="21" customHeight="1" spans="1:25">
      <c r="A4" s="58"/>
      <c r="B4" s="59" t="s">
        <v>24</v>
      </c>
      <c r="C4" s="60">
        <v>1</v>
      </c>
      <c r="D4" s="61">
        <v>0</v>
      </c>
      <c r="E4" s="61">
        <v>315</v>
      </c>
      <c r="F4" s="61">
        <f>E4-D4</f>
        <v>315</v>
      </c>
      <c r="G4" s="62">
        <v>2.5</v>
      </c>
      <c r="H4" s="62">
        <v>1</v>
      </c>
      <c r="I4" s="62">
        <v>0.35</v>
      </c>
      <c r="J4" s="62">
        <v>0.35</v>
      </c>
      <c r="K4" s="62">
        <v>0.15</v>
      </c>
      <c r="L4" s="62">
        <f>(G4+I4+J4)*0.6*F4</f>
        <v>604.8</v>
      </c>
      <c r="M4" s="62">
        <f>((0.3+J4)+(H4*0.5+0.3+J4))*H4/2*2*F4</f>
        <v>567</v>
      </c>
      <c r="N4" s="62">
        <f t="shared" ref="N4" si="0">(0.3+(H4*0.5+0.3))*H4/2*2*F4</f>
        <v>346.5</v>
      </c>
      <c r="O4" s="62">
        <f>+(G4+I4+J4)*K4*(F4)</f>
        <v>151.2</v>
      </c>
      <c r="P4" s="62">
        <f>+(G4+I4+J4)*0.1*F4</f>
        <v>100.8</v>
      </c>
      <c r="Q4" s="62">
        <f>+(I4*H4+J4*H4)*F4</f>
        <v>220.5</v>
      </c>
      <c r="R4" s="62"/>
      <c r="S4" s="62"/>
      <c r="T4" s="62">
        <f>F4/15*(0.2*0.6*2+0.1*1.2)</f>
        <v>7.56</v>
      </c>
      <c r="U4" s="62">
        <f>(O4+Q4)/5</f>
        <v>74.34</v>
      </c>
      <c r="V4" s="62">
        <f>(F4)*H4*4</f>
        <v>1260</v>
      </c>
      <c r="W4" s="62">
        <f>+(G4+I4+J4)*0.3*F4</f>
        <v>302.4</v>
      </c>
      <c r="X4" s="77"/>
      <c r="Y4" s="89"/>
    </row>
    <row r="5" s="45" customFormat="1" ht="21" customHeight="1" spans="1:25">
      <c r="A5" s="50"/>
      <c r="B5" s="59"/>
      <c r="C5" s="60">
        <v>2</v>
      </c>
      <c r="D5" s="13">
        <v>315</v>
      </c>
      <c r="E5" s="13">
        <v>321</v>
      </c>
      <c r="F5" s="61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78" t="s">
        <v>25</v>
      </c>
      <c r="Y5" s="90"/>
    </row>
    <row r="6" s="45" customFormat="1" ht="21" customHeight="1" spans="1:25">
      <c r="A6" s="50"/>
      <c r="B6" s="59"/>
      <c r="C6" s="60">
        <v>3</v>
      </c>
      <c r="D6" s="13">
        <v>321</v>
      </c>
      <c r="E6" s="13">
        <v>505</v>
      </c>
      <c r="F6" s="61">
        <f>E6-D6</f>
        <v>184</v>
      </c>
      <c r="G6" s="62">
        <v>2.5</v>
      </c>
      <c r="H6" s="62">
        <v>1</v>
      </c>
      <c r="I6" s="62">
        <v>0.35</v>
      </c>
      <c r="J6" s="62">
        <v>0.35</v>
      </c>
      <c r="K6" s="62">
        <v>0.15</v>
      </c>
      <c r="L6" s="62">
        <f t="shared" ref="L5:L14" si="1">(G6+I6+J6)*0.6*F6</f>
        <v>353.28</v>
      </c>
      <c r="M6" s="62">
        <f>((0.3+J6)+(H6*0.5+0.3+J6))*H6/2*2*F6</f>
        <v>331.2</v>
      </c>
      <c r="N6" s="62">
        <f>(0.3+(H6*0.5+0.3))*H6/2*2*F6</f>
        <v>202.4</v>
      </c>
      <c r="O6" s="62">
        <f>+(G6+I6+J6)*K6*(F6)</f>
        <v>88.32</v>
      </c>
      <c r="P6" s="62">
        <f t="shared" ref="P5:P14" si="2">+(G6+I6+J6)*0.2*F6</f>
        <v>117.76</v>
      </c>
      <c r="Q6" s="62">
        <f>+(I6*H6+J6*H6)*F6</f>
        <v>128.8</v>
      </c>
      <c r="R6" s="62"/>
      <c r="S6" s="62"/>
      <c r="T6" s="62">
        <f>F6/15*(0.2*0.6*2+0.1*1.2)</f>
        <v>4.416</v>
      </c>
      <c r="U6" s="62">
        <f>(O6+Q6)/5</f>
        <v>43.424</v>
      </c>
      <c r="V6" s="62">
        <f>(F6)*H6*4</f>
        <v>736</v>
      </c>
      <c r="W6" s="62">
        <f t="shared" ref="W5:W14" si="3">+(G6+I6+J6)*0.3*F6</f>
        <v>176.64</v>
      </c>
      <c r="X6" s="79"/>
      <c r="Y6" s="90"/>
    </row>
    <row r="7" s="45" customFormat="1" ht="21" customHeight="1" spans="1:25">
      <c r="A7" s="50"/>
      <c r="B7" s="59"/>
      <c r="C7" s="60">
        <v>4</v>
      </c>
      <c r="D7" s="13">
        <v>505</v>
      </c>
      <c r="E7" s="13">
        <v>537</v>
      </c>
      <c r="F7" s="61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78" t="s">
        <v>26</v>
      </c>
      <c r="Y7" s="90"/>
    </row>
    <row r="8" s="45" customFormat="1" ht="21" customHeight="1" spans="1:25">
      <c r="A8" s="50"/>
      <c r="B8" s="59"/>
      <c r="C8" s="60">
        <v>6</v>
      </c>
      <c r="D8" s="13">
        <v>537</v>
      </c>
      <c r="E8" s="13">
        <v>785</v>
      </c>
      <c r="F8" s="61">
        <f>E8-D8</f>
        <v>248</v>
      </c>
      <c r="G8" s="62">
        <v>2.5</v>
      </c>
      <c r="H8" s="62">
        <v>1</v>
      </c>
      <c r="I8" s="62">
        <v>0.35</v>
      </c>
      <c r="J8" s="62">
        <v>0.35</v>
      </c>
      <c r="K8" s="62">
        <v>0.15</v>
      </c>
      <c r="L8" s="62">
        <f t="shared" si="1"/>
        <v>476.16</v>
      </c>
      <c r="M8" s="62">
        <f t="shared" ref="M8:M14" si="4">((0.3+J8)+(H8*0.5+0.3+J8))*H8/2*2*F8</f>
        <v>446.4</v>
      </c>
      <c r="N8" s="62">
        <f t="shared" ref="N8:N14" si="5">(0.3+(H8*0.5+0.3))*H8/2*2*F8</f>
        <v>272.8</v>
      </c>
      <c r="O8" s="62">
        <f t="shared" ref="O8:O14" si="6">+(G8+I8+J8)*K8*(F8)</f>
        <v>119.04</v>
      </c>
      <c r="P8" s="62">
        <f t="shared" si="2"/>
        <v>158.72</v>
      </c>
      <c r="Q8" s="62">
        <f t="shared" ref="Q8:Q14" si="7">+(I8*H8+J8*H8)*F8</f>
        <v>173.6</v>
      </c>
      <c r="R8" s="62"/>
      <c r="S8" s="62"/>
      <c r="T8" s="62">
        <f t="shared" ref="T8:T14" si="8">F8/15*(0.2*0.6*2+0.1*1.2)</f>
        <v>5.952</v>
      </c>
      <c r="U8" s="62">
        <f t="shared" ref="U8:U14" si="9">(O8+Q8)/5</f>
        <v>58.528</v>
      </c>
      <c r="V8" s="62">
        <f t="shared" ref="V8:V14" si="10">(F8)*H8*4</f>
        <v>992</v>
      </c>
      <c r="W8" s="62">
        <f t="shared" si="3"/>
        <v>238.08</v>
      </c>
      <c r="X8" s="79"/>
      <c r="Y8" s="90"/>
    </row>
    <row r="9" s="45" customFormat="1" ht="21" customHeight="1" spans="1:25">
      <c r="A9" s="50"/>
      <c r="B9" s="59"/>
      <c r="C9" s="60">
        <v>7</v>
      </c>
      <c r="D9" s="13">
        <v>785</v>
      </c>
      <c r="E9" s="13">
        <v>790</v>
      </c>
      <c r="F9" s="61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78" t="s">
        <v>25</v>
      </c>
      <c r="Y9" s="90"/>
    </row>
    <row r="10" s="45" customFormat="1" ht="21" customHeight="1" spans="1:25">
      <c r="A10" s="50"/>
      <c r="B10" s="59"/>
      <c r="C10" s="60">
        <v>8</v>
      </c>
      <c r="D10" s="13">
        <v>790</v>
      </c>
      <c r="E10" s="13">
        <v>895</v>
      </c>
      <c r="F10" s="61">
        <f>E10-D10</f>
        <v>105</v>
      </c>
      <c r="G10" s="62">
        <v>2.5</v>
      </c>
      <c r="H10" s="62">
        <v>1</v>
      </c>
      <c r="I10" s="62">
        <v>0.35</v>
      </c>
      <c r="J10" s="62">
        <v>0.35</v>
      </c>
      <c r="K10" s="62">
        <v>0.15</v>
      </c>
      <c r="L10" s="62">
        <f t="shared" si="1"/>
        <v>201.6</v>
      </c>
      <c r="M10" s="62">
        <f t="shared" si="4"/>
        <v>189</v>
      </c>
      <c r="N10" s="62">
        <f t="shared" si="5"/>
        <v>115.5</v>
      </c>
      <c r="O10" s="62">
        <f t="shared" si="6"/>
        <v>50.4</v>
      </c>
      <c r="P10" s="62">
        <f t="shared" si="2"/>
        <v>67.2</v>
      </c>
      <c r="Q10" s="62">
        <f t="shared" si="7"/>
        <v>73.5</v>
      </c>
      <c r="R10" s="62"/>
      <c r="S10" s="62"/>
      <c r="T10" s="62">
        <f t="shared" si="8"/>
        <v>2.52</v>
      </c>
      <c r="U10" s="62">
        <f t="shared" si="9"/>
        <v>24.78</v>
      </c>
      <c r="V10" s="62">
        <f t="shared" si="10"/>
        <v>420</v>
      </c>
      <c r="W10" s="62">
        <f t="shared" si="3"/>
        <v>100.8</v>
      </c>
      <c r="X10" s="79"/>
      <c r="Y10" s="90"/>
    </row>
    <row r="11" s="45" customFormat="1" ht="21" customHeight="1" spans="1:25">
      <c r="A11" s="50"/>
      <c r="B11" s="59"/>
      <c r="C11" s="60">
        <v>9</v>
      </c>
      <c r="D11" s="13">
        <v>895</v>
      </c>
      <c r="E11" s="13">
        <v>1548</v>
      </c>
      <c r="F11" s="61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78" t="s">
        <v>27</v>
      </c>
      <c r="Y11" s="90"/>
    </row>
    <row r="12" s="45" customFormat="1" ht="21" customHeight="1" spans="1:25">
      <c r="A12" s="50"/>
      <c r="B12" s="59"/>
      <c r="C12" s="60">
        <v>10</v>
      </c>
      <c r="D12" s="13">
        <v>1548</v>
      </c>
      <c r="E12" s="13">
        <v>1795</v>
      </c>
      <c r="F12" s="61">
        <f>E12-D12</f>
        <v>247</v>
      </c>
      <c r="G12" s="62">
        <v>2.5</v>
      </c>
      <c r="H12" s="62">
        <v>1</v>
      </c>
      <c r="I12" s="62">
        <v>0.35</v>
      </c>
      <c r="J12" s="62">
        <v>0.35</v>
      </c>
      <c r="K12" s="62">
        <v>0.15</v>
      </c>
      <c r="L12" s="62">
        <f t="shared" si="1"/>
        <v>474.24</v>
      </c>
      <c r="M12" s="62">
        <f t="shared" si="4"/>
        <v>444.6</v>
      </c>
      <c r="N12" s="62">
        <f t="shared" si="5"/>
        <v>271.7</v>
      </c>
      <c r="O12" s="62">
        <f t="shared" si="6"/>
        <v>118.56</v>
      </c>
      <c r="P12" s="62">
        <f t="shared" si="2"/>
        <v>158.08</v>
      </c>
      <c r="Q12" s="62">
        <f t="shared" si="7"/>
        <v>172.9</v>
      </c>
      <c r="R12" s="62"/>
      <c r="S12" s="62"/>
      <c r="T12" s="62">
        <f t="shared" si="8"/>
        <v>5.928</v>
      </c>
      <c r="U12" s="62">
        <f t="shared" si="9"/>
        <v>58.292</v>
      </c>
      <c r="V12" s="62">
        <f t="shared" si="10"/>
        <v>988</v>
      </c>
      <c r="W12" s="62">
        <f t="shared" si="3"/>
        <v>237.12</v>
      </c>
      <c r="X12" s="79"/>
      <c r="Y12" s="90"/>
    </row>
    <row r="13" s="45" customFormat="1" ht="21" customHeight="1" spans="1:25">
      <c r="A13" s="50"/>
      <c r="B13" s="59"/>
      <c r="C13" s="60">
        <v>11</v>
      </c>
      <c r="D13" s="13">
        <v>1795</v>
      </c>
      <c r="E13" s="13">
        <v>1800</v>
      </c>
      <c r="F13" s="61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78" t="s">
        <v>25</v>
      </c>
      <c r="Y13" s="90"/>
    </row>
    <row r="14" s="45" customFormat="1" ht="21" customHeight="1" spans="1:25">
      <c r="A14" s="50"/>
      <c r="B14" s="63"/>
      <c r="C14" s="60">
        <v>12</v>
      </c>
      <c r="D14" s="24">
        <v>1800</v>
      </c>
      <c r="E14" s="24">
        <v>2016</v>
      </c>
      <c r="F14" s="61">
        <f>E14-D14</f>
        <v>216</v>
      </c>
      <c r="G14" s="62">
        <v>2.5</v>
      </c>
      <c r="H14" s="62">
        <v>1</v>
      </c>
      <c r="I14" s="62">
        <v>0.35</v>
      </c>
      <c r="J14" s="62">
        <v>0.35</v>
      </c>
      <c r="K14" s="62">
        <v>0.15</v>
      </c>
      <c r="L14" s="62">
        <f t="shared" si="1"/>
        <v>414.72</v>
      </c>
      <c r="M14" s="62">
        <f t="shared" si="4"/>
        <v>388.8</v>
      </c>
      <c r="N14" s="62">
        <f t="shared" si="5"/>
        <v>237.6</v>
      </c>
      <c r="O14" s="62">
        <f t="shared" si="6"/>
        <v>103.68</v>
      </c>
      <c r="P14" s="62">
        <f t="shared" si="2"/>
        <v>138.24</v>
      </c>
      <c r="Q14" s="62">
        <f t="shared" si="7"/>
        <v>151.2</v>
      </c>
      <c r="R14" s="62"/>
      <c r="S14" s="62"/>
      <c r="T14" s="62">
        <f t="shared" si="8"/>
        <v>5.184</v>
      </c>
      <c r="U14" s="62">
        <f t="shared" si="9"/>
        <v>50.976</v>
      </c>
      <c r="V14" s="62">
        <f t="shared" si="10"/>
        <v>864</v>
      </c>
      <c r="W14" s="62">
        <f t="shared" si="3"/>
        <v>207.36</v>
      </c>
      <c r="X14" s="80"/>
      <c r="Y14" s="90"/>
    </row>
    <row r="15" s="45" customFormat="1" ht="21" customHeight="1" spans="1:25">
      <c r="A15" s="50"/>
      <c r="B15" s="64"/>
      <c r="C15" s="17" t="s">
        <v>28</v>
      </c>
      <c r="D15" s="65" t="s">
        <v>29</v>
      </c>
      <c r="E15" s="65" t="s">
        <v>29</v>
      </c>
      <c r="F15" s="65">
        <f>SUM(F4:F14)</f>
        <v>1315</v>
      </c>
      <c r="G15" s="17" t="s">
        <v>29</v>
      </c>
      <c r="H15" s="17" t="s">
        <v>29</v>
      </c>
      <c r="I15" s="17" t="s">
        <v>29</v>
      </c>
      <c r="J15" s="17" t="s">
        <v>29</v>
      </c>
      <c r="K15" s="17" t="s">
        <v>29</v>
      </c>
      <c r="L15" s="18">
        <f>SUM(L4:L14)</f>
        <v>2524.8</v>
      </c>
      <c r="M15" s="18">
        <f t="shared" ref="M15:W15" si="11">SUM(M4:M14)</f>
        <v>2367</v>
      </c>
      <c r="N15" s="18">
        <f t="shared" si="11"/>
        <v>1446.5</v>
      </c>
      <c r="O15" s="18">
        <f t="shared" si="11"/>
        <v>631.2</v>
      </c>
      <c r="P15" s="18">
        <f t="shared" si="11"/>
        <v>740.8</v>
      </c>
      <c r="Q15" s="18">
        <f t="shared" si="11"/>
        <v>920.5</v>
      </c>
      <c r="R15" s="18">
        <f t="shared" si="11"/>
        <v>0</v>
      </c>
      <c r="S15" s="18">
        <f t="shared" si="11"/>
        <v>0</v>
      </c>
      <c r="T15" s="18">
        <f t="shared" si="11"/>
        <v>31.56</v>
      </c>
      <c r="U15" s="18">
        <f t="shared" si="11"/>
        <v>310.34</v>
      </c>
      <c r="V15" s="18">
        <f t="shared" si="11"/>
        <v>5260</v>
      </c>
      <c r="W15" s="18">
        <f t="shared" si="11"/>
        <v>1262.4</v>
      </c>
      <c r="X15" s="81"/>
      <c r="Y15" s="90"/>
    </row>
    <row r="16" s="47" customFormat="1" ht="21" customHeight="1" spans="1:25">
      <c r="A16" s="66"/>
      <c r="B16" s="67"/>
      <c r="C16" s="67"/>
      <c r="D16" s="68"/>
      <c r="E16" s="68"/>
      <c r="F16" s="68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6"/>
    </row>
    <row r="17" s="48" customFormat="1" customHeight="1" spans="4:6">
      <c r="D17" s="69"/>
      <c r="E17" s="69"/>
      <c r="F17" s="69"/>
    </row>
    <row r="18" s="48" customFormat="1" customHeight="1" spans="4:6">
      <c r="D18" s="69"/>
      <c r="E18" s="69"/>
      <c r="F18" s="69"/>
    </row>
    <row r="19" s="45" customFormat="1" ht="28.9" customHeight="1" spans="2:25"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91"/>
    </row>
    <row r="20" s="45" customFormat="1" ht="28.9" customHeight="1" spans="1:25">
      <c r="A20" s="50"/>
      <c r="B20" s="51" t="s">
        <v>30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73"/>
      <c r="X20" s="74"/>
      <c r="Y20" s="86"/>
    </row>
    <row r="21" s="47" customFormat="1" ht="39.95" customHeight="1" spans="1:26">
      <c r="A21" s="53"/>
      <c r="B21" s="54" t="s">
        <v>1</v>
      </c>
      <c r="C21" s="55" t="s">
        <v>2</v>
      </c>
      <c r="D21" s="56" t="s">
        <v>3</v>
      </c>
      <c r="E21" s="56" t="s">
        <v>4</v>
      </c>
      <c r="F21" s="56" t="s">
        <v>5</v>
      </c>
      <c r="G21" s="57" t="s">
        <v>6</v>
      </c>
      <c r="H21" s="57" t="s">
        <v>7</v>
      </c>
      <c r="I21" s="57" t="s">
        <v>8</v>
      </c>
      <c r="J21" s="57" t="s">
        <v>9</v>
      </c>
      <c r="K21" s="57" t="s">
        <v>10</v>
      </c>
      <c r="L21" s="57" t="s">
        <v>11</v>
      </c>
      <c r="M21" s="57" t="s">
        <v>12</v>
      </c>
      <c r="N21" s="72" t="s">
        <v>13</v>
      </c>
      <c r="O21" s="57" t="s">
        <v>31</v>
      </c>
      <c r="P21" s="57" t="s">
        <v>15</v>
      </c>
      <c r="Q21" s="57" t="s">
        <v>32</v>
      </c>
      <c r="R21" s="57" t="s">
        <v>17</v>
      </c>
      <c r="S21" s="57" t="s">
        <v>18</v>
      </c>
      <c r="T21" s="57" t="s">
        <v>19</v>
      </c>
      <c r="U21" s="57" t="s">
        <v>20</v>
      </c>
      <c r="V21" s="57" t="s">
        <v>21</v>
      </c>
      <c r="W21" s="75" t="s">
        <v>22</v>
      </c>
      <c r="X21" s="76" t="s">
        <v>23</v>
      </c>
      <c r="Y21" s="87"/>
      <c r="Z21" s="88"/>
    </row>
    <row r="22" s="46" customFormat="1" ht="21" customHeight="1" spans="1:25">
      <c r="A22" s="58"/>
      <c r="B22" s="59" t="s">
        <v>33</v>
      </c>
      <c r="C22" s="60">
        <v>1</v>
      </c>
      <c r="D22" s="61">
        <v>0</v>
      </c>
      <c r="E22" s="61">
        <v>254</v>
      </c>
      <c r="F22" s="61">
        <f>E22-D22</f>
        <v>254</v>
      </c>
      <c r="G22" s="62">
        <v>0.4</v>
      </c>
      <c r="H22" s="62">
        <v>0.4</v>
      </c>
      <c r="I22" s="62">
        <v>0.2</v>
      </c>
      <c r="J22" s="62">
        <v>0.2</v>
      </c>
      <c r="K22" s="62">
        <v>0.1</v>
      </c>
      <c r="L22" s="62">
        <f>(G22+I22+J22)*0.1*F22</f>
        <v>20.32</v>
      </c>
      <c r="M22" s="62">
        <f>((0.3+J22)+(H22*0.5+0.3+J22))*H22/2*2*F22</f>
        <v>121.92</v>
      </c>
      <c r="N22" s="62">
        <f>(0.3+(H22*0.5+0.3))*H22/2*2*F22</f>
        <v>81.28</v>
      </c>
      <c r="O22" s="62">
        <f>+(G22+I22+J22)*K22*(F22)</f>
        <v>20.32</v>
      </c>
      <c r="P22" s="62">
        <f>+(G22+I22+J22)*0.1*F22</f>
        <v>20.32</v>
      </c>
      <c r="Q22" s="62">
        <f>+(I22*H22+J22*H22)*F22</f>
        <v>40.64</v>
      </c>
      <c r="R22" s="62"/>
      <c r="S22" s="62"/>
      <c r="T22" s="62">
        <f>F22/15*(0.2*0.6*2+0.1*1.2)</f>
        <v>6.096</v>
      </c>
      <c r="U22" s="62">
        <f>(O22+Q22)/5</f>
        <v>12.192</v>
      </c>
      <c r="V22" s="62">
        <f>(F22)*H22*4</f>
        <v>406.4</v>
      </c>
      <c r="W22" s="82"/>
      <c r="X22" s="77"/>
      <c r="Y22" s="89"/>
    </row>
    <row r="23" s="45" customFormat="1" ht="21" customHeight="1" spans="1:25">
      <c r="A23" s="50"/>
      <c r="B23" s="59"/>
      <c r="C23" s="60">
        <v>2</v>
      </c>
      <c r="D23" s="13">
        <v>254</v>
      </c>
      <c r="E23" s="13">
        <v>260</v>
      </c>
      <c r="F23" s="61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82"/>
      <c r="X23" s="78" t="s">
        <v>25</v>
      </c>
      <c r="Y23" s="90"/>
    </row>
    <row r="24" s="45" customFormat="1" ht="21" customHeight="1" spans="1:25">
      <c r="A24" s="50"/>
      <c r="B24" s="59"/>
      <c r="C24" s="60">
        <v>3</v>
      </c>
      <c r="D24" s="13">
        <v>260</v>
      </c>
      <c r="E24" s="13">
        <v>298</v>
      </c>
      <c r="F24" s="61">
        <f t="shared" ref="F24:F28" si="12">E24-D24</f>
        <v>38</v>
      </c>
      <c r="G24" s="62">
        <v>0.4</v>
      </c>
      <c r="H24" s="62">
        <v>0.4</v>
      </c>
      <c r="I24" s="62">
        <v>0.2</v>
      </c>
      <c r="J24" s="62">
        <v>0.2</v>
      </c>
      <c r="K24" s="62">
        <v>0.1</v>
      </c>
      <c r="L24" s="62">
        <f t="shared" ref="L24:L28" si="13">(G24+I24+J24)*0.1*F24</f>
        <v>3.04</v>
      </c>
      <c r="M24" s="62">
        <f t="shared" ref="M24:M28" si="14">((0.3+J24)+(H24*0.5+0.3+J24))*H24/2*2*F24</f>
        <v>18.24</v>
      </c>
      <c r="N24" s="62">
        <f t="shared" ref="N24:N28" si="15">(0.3+(H24*0.5+0.3))*H24/2*2*F24</f>
        <v>12.16</v>
      </c>
      <c r="O24" s="62">
        <f t="shared" ref="O24:O28" si="16">+(G24+I24+J24)*K24*(F24)</f>
        <v>3.04</v>
      </c>
      <c r="P24" s="62">
        <f t="shared" ref="P24:P28" si="17">+(G24+I24+J24)*0.1*F24</f>
        <v>3.04</v>
      </c>
      <c r="Q24" s="62">
        <f t="shared" ref="Q24:Q28" si="18">+(I24*H24+J24*H24)*F24</f>
        <v>6.08</v>
      </c>
      <c r="R24" s="62"/>
      <c r="S24" s="62"/>
      <c r="T24" s="62">
        <f t="shared" ref="T24:T28" si="19">F24/15*(0.2*0.6*2+0.1*1.2)</f>
        <v>0.912</v>
      </c>
      <c r="U24" s="62">
        <f t="shared" ref="U24:U28" si="20">(O24+Q24)/5</f>
        <v>1.824</v>
      </c>
      <c r="V24" s="62">
        <f t="shared" ref="V24:V28" si="21">(F24)*H24*4</f>
        <v>60.8</v>
      </c>
      <c r="W24" s="82"/>
      <c r="X24" s="79"/>
      <c r="Y24" s="90"/>
    </row>
    <row r="25" s="45" customFormat="1" ht="21" customHeight="1" spans="1:25">
      <c r="A25" s="50"/>
      <c r="B25" s="59"/>
      <c r="C25" s="60">
        <v>4</v>
      </c>
      <c r="D25" s="13">
        <v>298</v>
      </c>
      <c r="E25" s="13">
        <v>302</v>
      </c>
      <c r="F25" s="61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82"/>
      <c r="X25" s="78" t="s">
        <v>25</v>
      </c>
      <c r="Y25" s="90"/>
    </row>
    <row r="26" s="45" customFormat="1" ht="21" customHeight="1" spans="1:25">
      <c r="A26" s="50"/>
      <c r="B26" s="59"/>
      <c r="C26" s="60">
        <v>5</v>
      </c>
      <c r="D26" s="13">
        <v>302</v>
      </c>
      <c r="E26" s="13">
        <v>466</v>
      </c>
      <c r="F26" s="61">
        <f t="shared" si="12"/>
        <v>164</v>
      </c>
      <c r="G26" s="62">
        <v>0.4</v>
      </c>
      <c r="H26" s="62">
        <v>0.4</v>
      </c>
      <c r="I26" s="62">
        <v>0.2</v>
      </c>
      <c r="J26" s="62">
        <v>0.2</v>
      </c>
      <c r="K26" s="62">
        <v>0.1</v>
      </c>
      <c r="L26" s="62">
        <f t="shared" si="13"/>
        <v>13.12</v>
      </c>
      <c r="M26" s="62">
        <f t="shared" si="14"/>
        <v>78.72</v>
      </c>
      <c r="N26" s="62">
        <f t="shared" si="15"/>
        <v>52.48</v>
      </c>
      <c r="O26" s="62">
        <f t="shared" si="16"/>
        <v>13.12</v>
      </c>
      <c r="P26" s="62">
        <f t="shared" si="17"/>
        <v>13.12</v>
      </c>
      <c r="Q26" s="62">
        <f t="shared" si="18"/>
        <v>26.24</v>
      </c>
      <c r="R26" s="62"/>
      <c r="S26" s="62"/>
      <c r="T26" s="62">
        <f t="shared" si="19"/>
        <v>3.936</v>
      </c>
      <c r="U26" s="62">
        <f t="shared" si="20"/>
        <v>7.872</v>
      </c>
      <c r="V26" s="62">
        <f t="shared" si="21"/>
        <v>262.4</v>
      </c>
      <c r="W26" s="82"/>
      <c r="X26" s="78"/>
      <c r="Y26" s="90"/>
    </row>
    <row r="27" s="45" customFormat="1" ht="21" customHeight="1" spans="1:25">
      <c r="A27" s="50"/>
      <c r="B27" s="59"/>
      <c r="C27" s="60">
        <v>6</v>
      </c>
      <c r="D27" s="13">
        <v>466</v>
      </c>
      <c r="E27" s="13">
        <v>470</v>
      </c>
      <c r="F27" s="61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82"/>
      <c r="X27" s="78" t="s">
        <v>26</v>
      </c>
      <c r="Y27" s="90"/>
    </row>
    <row r="28" s="45" customFormat="1" ht="21" customHeight="1" spans="1:25">
      <c r="A28" s="50"/>
      <c r="B28" s="59"/>
      <c r="C28" s="60">
        <v>7</v>
      </c>
      <c r="D28" s="13">
        <v>470</v>
      </c>
      <c r="E28" s="13">
        <v>518</v>
      </c>
      <c r="F28" s="61">
        <f t="shared" si="12"/>
        <v>48</v>
      </c>
      <c r="G28" s="62">
        <v>0.4</v>
      </c>
      <c r="H28" s="62">
        <v>0.4</v>
      </c>
      <c r="I28" s="62">
        <v>0.2</v>
      </c>
      <c r="J28" s="62">
        <v>0.2</v>
      </c>
      <c r="K28" s="62">
        <v>0.1</v>
      </c>
      <c r="L28" s="62">
        <f t="shared" si="13"/>
        <v>3.84</v>
      </c>
      <c r="M28" s="62">
        <f t="shared" si="14"/>
        <v>23.04</v>
      </c>
      <c r="N28" s="62">
        <f t="shared" si="15"/>
        <v>15.36</v>
      </c>
      <c r="O28" s="62">
        <f t="shared" si="16"/>
        <v>3.84</v>
      </c>
      <c r="P28" s="62">
        <f t="shared" si="17"/>
        <v>3.84</v>
      </c>
      <c r="Q28" s="62">
        <f t="shared" si="18"/>
        <v>7.68</v>
      </c>
      <c r="R28" s="62"/>
      <c r="S28" s="62"/>
      <c r="T28" s="62">
        <f t="shared" si="19"/>
        <v>1.152</v>
      </c>
      <c r="U28" s="62">
        <f t="shared" si="20"/>
        <v>2.304</v>
      </c>
      <c r="V28" s="62">
        <f t="shared" si="21"/>
        <v>76.8</v>
      </c>
      <c r="W28" s="82"/>
      <c r="X28" s="78"/>
      <c r="Y28" s="90"/>
    </row>
    <row r="29" s="45" customFormat="1" ht="21" customHeight="1" spans="1:25">
      <c r="A29" s="50"/>
      <c r="B29" s="59"/>
      <c r="C29" s="60">
        <v>8</v>
      </c>
      <c r="D29" s="13">
        <v>518</v>
      </c>
      <c r="E29" s="13">
        <v>522</v>
      </c>
      <c r="F29" s="61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82"/>
      <c r="X29" s="78" t="s">
        <v>26</v>
      </c>
      <c r="Y29" s="90"/>
    </row>
    <row r="30" s="45" customFormat="1" ht="21" customHeight="1" spans="1:25">
      <c r="A30" s="50"/>
      <c r="B30" s="59"/>
      <c r="C30" s="60">
        <v>9</v>
      </c>
      <c r="D30" s="13">
        <v>522</v>
      </c>
      <c r="E30" s="13">
        <v>546</v>
      </c>
      <c r="F30" s="61">
        <f t="shared" ref="F30:F34" si="22">E30-D30</f>
        <v>24</v>
      </c>
      <c r="G30" s="62">
        <v>0.4</v>
      </c>
      <c r="H30" s="62">
        <v>0.4</v>
      </c>
      <c r="I30" s="62">
        <v>0.2</v>
      </c>
      <c r="J30" s="62">
        <v>0.2</v>
      </c>
      <c r="K30" s="62">
        <v>0.1</v>
      </c>
      <c r="L30" s="62">
        <f t="shared" ref="L30:L34" si="23">(G30+I30+J30)*0.1*F30</f>
        <v>1.92</v>
      </c>
      <c r="M30" s="62">
        <f t="shared" ref="M30:M34" si="24">((0.3+J30)+(H30*0.5+0.3+J30))*H30/2*2*F30</f>
        <v>11.52</v>
      </c>
      <c r="N30" s="62">
        <f t="shared" ref="N30:N34" si="25">(0.3+(H30*0.5+0.3))*H30/2*2*F30</f>
        <v>7.68</v>
      </c>
      <c r="O30" s="62">
        <f t="shared" ref="O30:O34" si="26">+(G30+I30+J30)*K30*(F30)</f>
        <v>1.92</v>
      </c>
      <c r="P30" s="62">
        <f t="shared" ref="P30:P34" si="27">+(G30+I30+J30)*0.1*F30</f>
        <v>1.92</v>
      </c>
      <c r="Q30" s="62">
        <f t="shared" ref="Q30:Q34" si="28">+(I30*H30+J30*H30)*F30</f>
        <v>3.84</v>
      </c>
      <c r="R30" s="62"/>
      <c r="S30" s="62"/>
      <c r="T30" s="62">
        <f t="shared" ref="T30:T34" si="29">F30/15*(0.2*0.6*2+0.1*1.2)</f>
        <v>0.576</v>
      </c>
      <c r="U30" s="62">
        <f t="shared" ref="U30:U34" si="30">(O30+Q30)/5</f>
        <v>1.152</v>
      </c>
      <c r="V30" s="62">
        <f t="shared" ref="V30:V34" si="31">(F30)*H30*4</f>
        <v>38.4</v>
      </c>
      <c r="W30" s="82"/>
      <c r="X30" s="78"/>
      <c r="Y30" s="90"/>
    </row>
    <row r="31" s="45" customFormat="1" ht="21" customHeight="1" spans="1:25">
      <c r="A31" s="50"/>
      <c r="B31" s="59"/>
      <c r="C31" s="60">
        <v>10</v>
      </c>
      <c r="D31" s="13">
        <v>546</v>
      </c>
      <c r="E31" s="13">
        <v>568</v>
      </c>
      <c r="F31" s="61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82"/>
      <c r="X31" s="78" t="s">
        <v>26</v>
      </c>
      <c r="Y31" s="90"/>
    </row>
    <row r="32" s="45" customFormat="1" ht="21" customHeight="1" spans="1:25">
      <c r="A32" s="50"/>
      <c r="B32" s="59"/>
      <c r="C32" s="60">
        <v>11</v>
      </c>
      <c r="D32" s="13">
        <v>568</v>
      </c>
      <c r="E32" s="13">
        <v>742</v>
      </c>
      <c r="F32" s="61">
        <f t="shared" si="22"/>
        <v>174</v>
      </c>
      <c r="G32" s="62">
        <v>0.4</v>
      </c>
      <c r="H32" s="62">
        <v>0.4</v>
      </c>
      <c r="I32" s="62">
        <v>0.2</v>
      </c>
      <c r="J32" s="62">
        <v>0.2</v>
      </c>
      <c r="K32" s="62">
        <v>0.1</v>
      </c>
      <c r="L32" s="62">
        <f t="shared" si="23"/>
        <v>13.92</v>
      </c>
      <c r="M32" s="62">
        <f t="shared" si="24"/>
        <v>83.52</v>
      </c>
      <c r="N32" s="62">
        <f t="shared" si="25"/>
        <v>55.68</v>
      </c>
      <c r="O32" s="62">
        <f t="shared" si="26"/>
        <v>13.92</v>
      </c>
      <c r="P32" s="62">
        <f t="shared" si="27"/>
        <v>13.92</v>
      </c>
      <c r="Q32" s="62">
        <f t="shared" si="28"/>
        <v>27.84</v>
      </c>
      <c r="R32" s="62"/>
      <c r="S32" s="62"/>
      <c r="T32" s="62">
        <f t="shared" si="29"/>
        <v>4.176</v>
      </c>
      <c r="U32" s="62">
        <f t="shared" si="30"/>
        <v>8.352</v>
      </c>
      <c r="V32" s="62">
        <f t="shared" si="31"/>
        <v>278.4</v>
      </c>
      <c r="W32" s="82"/>
      <c r="X32" s="78"/>
      <c r="Y32" s="90"/>
    </row>
    <row r="33" s="45" customFormat="1" ht="21" customHeight="1" spans="1:25">
      <c r="A33" s="50"/>
      <c r="B33" s="63"/>
      <c r="C33" s="60">
        <v>12</v>
      </c>
      <c r="D33" s="24">
        <v>742</v>
      </c>
      <c r="E33" s="24">
        <v>759</v>
      </c>
      <c r="F33" s="61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82"/>
      <c r="X33" s="78" t="s">
        <v>25</v>
      </c>
      <c r="Y33" s="90"/>
    </row>
    <row r="34" s="45" customFormat="1" ht="21" customHeight="1" spans="1:25">
      <c r="A34" s="50"/>
      <c r="B34" s="63"/>
      <c r="C34" s="60">
        <v>13</v>
      </c>
      <c r="D34" s="71">
        <v>759</v>
      </c>
      <c r="E34" s="71">
        <v>766</v>
      </c>
      <c r="F34" s="61">
        <f t="shared" si="22"/>
        <v>7</v>
      </c>
      <c r="G34" s="62">
        <v>0.4</v>
      </c>
      <c r="H34" s="62">
        <v>0.4</v>
      </c>
      <c r="I34" s="62">
        <v>0.2</v>
      </c>
      <c r="J34" s="62">
        <v>0.2</v>
      </c>
      <c r="K34" s="62">
        <v>0.1</v>
      </c>
      <c r="L34" s="62">
        <f t="shared" si="23"/>
        <v>0.56</v>
      </c>
      <c r="M34" s="62">
        <f t="shared" si="24"/>
        <v>3.36</v>
      </c>
      <c r="N34" s="62">
        <f t="shared" si="25"/>
        <v>2.24</v>
      </c>
      <c r="O34" s="62">
        <f t="shared" si="26"/>
        <v>0.56</v>
      </c>
      <c r="P34" s="62">
        <f t="shared" si="27"/>
        <v>0.56</v>
      </c>
      <c r="Q34" s="62">
        <f t="shared" si="28"/>
        <v>1.12</v>
      </c>
      <c r="R34" s="62"/>
      <c r="S34" s="62"/>
      <c r="T34" s="62">
        <f t="shared" si="29"/>
        <v>0.168</v>
      </c>
      <c r="U34" s="62">
        <f t="shared" si="30"/>
        <v>0.336</v>
      </c>
      <c r="V34" s="62">
        <f t="shared" si="31"/>
        <v>11.2</v>
      </c>
      <c r="W34" s="83"/>
      <c r="X34" s="80"/>
      <c r="Y34" s="90"/>
    </row>
    <row r="35" s="45" customFormat="1" ht="21" customHeight="1" spans="1:25">
      <c r="A35" s="50"/>
      <c r="B35" s="63"/>
      <c r="C35" s="60">
        <v>14</v>
      </c>
      <c r="D35" s="71">
        <v>766</v>
      </c>
      <c r="E35" s="71">
        <v>772</v>
      </c>
      <c r="F35" s="71"/>
      <c r="G35" s="25"/>
      <c r="H35" s="25"/>
      <c r="I35" s="25"/>
      <c r="J35" s="25"/>
      <c r="K35" s="25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84"/>
      <c r="X35" s="78" t="s">
        <v>25</v>
      </c>
      <c r="Y35" s="90"/>
    </row>
    <row r="36" s="45" customFormat="1" ht="21" customHeight="1" spans="1:25">
      <c r="A36" s="50"/>
      <c r="B36" s="63"/>
      <c r="C36" s="60">
        <v>15</v>
      </c>
      <c r="D36" s="71">
        <v>772</v>
      </c>
      <c r="E36" s="71">
        <v>948</v>
      </c>
      <c r="F36" s="61">
        <f>E36-D36</f>
        <v>176</v>
      </c>
      <c r="G36" s="62">
        <v>0.4</v>
      </c>
      <c r="H36" s="62">
        <v>0.4</v>
      </c>
      <c r="I36" s="62">
        <v>0.2</v>
      </c>
      <c r="J36" s="62">
        <v>0.2</v>
      </c>
      <c r="K36" s="62">
        <v>0.1</v>
      </c>
      <c r="L36" s="62">
        <f>(G36+I36+J36)*0.1*F36</f>
        <v>14.08</v>
      </c>
      <c r="M36" s="62">
        <f>((0.3+J36)+(H36*0.5+0.3+J36))*H36/2*2*F36</f>
        <v>84.48</v>
      </c>
      <c r="N36" s="62">
        <f>(0.3+(H36*0.5+0.3))*H36/2*2*F36</f>
        <v>56.32</v>
      </c>
      <c r="O36" s="62">
        <f>+(G36+I36+J36)*K36*(F36)</f>
        <v>14.08</v>
      </c>
      <c r="P36" s="62">
        <f>+(G36+I36+J36)*0.1*F36</f>
        <v>14.08</v>
      </c>
      <c r="Q36" s="62">
        <f>+(I36*H36+J36*H36)*F36</f>
        <v>28.16</v>
      </c>
      <c r="R36" s="62"/>
      <c r="S36" s="62"/>
      <c r="T36" s="62">
        <f>F36/15*(0.2*0.6*2+0.1*1.2)</f>
        <v>4.224</v>
      </c>
      <c r="U36" s="62">
        <f>(O36+Q36)/5</f>
        <v>8.448</v>
      </c>
      <c r="V36" s="62">
        <f>(F36)*H36*4</f>
        <v>281.6</v>
      </c>
      <c r="W36" s="83"/>
      <c r="X36" s="80"/>
      <c r="Y36" s="90"/>
    </row>
    <row r="37" s="45" customFormat="1" ht="21" customHeight="1" spans="1:25">
      <c r="A37" s="50"/>
      <c r="B37" s="63"/>
      <c r="C37" s="60">
        <v>16</v>
      </c>
      <c r="D37" s="71">
        <v>948</v>
      </c>
      <c r="E37" s="71">
        <v>952</v>
      </c>
      <c r="F37" s="71"/>
      <c r="G37" s="25"/>
      <c r="H37" s="25"/>
      <c r="I37" s="25"/>
      <c r="J37" s="25"/>
      <c r="K37" s="25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84"/>
      <c r="X37" s="78" t="s">
        <v>25</v>
      </c>
      <c r="Y37" s="90"/>
    </row>
    <row r="38" s="45" customFormat="1" ht="21" customHeight="1" spans="1:25">
      <c r="A38" s="50"/>
      <c r="B38" s="63"/>
      <c r="C38" s="60">
        <v>17</v>
      </c>
      <c r="D38" s="71">
        <v>952</v>
      </c>
      <c r="E38" s="71">
        <v>1144</v>
      </c>
      <c r="F38" s="61">
        <f>E38-D38</f>
        <v>192</v>
      </c>
      <c r="G38" s="62">
        <v>0.4</v>
      </c>
      <c r="H38" s="62">
        <v>0.4</v>
      </c>
      <c r="I38" s="62">
        <v>0.2</v>
      </c>
      <c r="J38" s="62">
        <v>0.2</v>
      </c>
      <c r="K38" s="62">
        <v>0.1</v>
      </c>
      <c r="L38" s="62">
        <f>(G38+I38+J38)*0.1*F38</f>
        <v>15.36</v>
      </c>
      <c r="M38" s="62">
        <f>((0.3+J38)+(H38*0.5+0.3+J38))*H38/2*2*F38</f>
        <v>92.16</v>
      </c>
      <c r="N38" s="62">
        <f>(0.3+(H38*0.5+0.3))*H38/2*2*F38</f>
        <v>61.44</v>
      </c>
      <c r="O38" s="62">
        <f>+(G38+I38+J38)*K38*(F38)</f>
        <v>15.36</v>
      </c>
      <c r="P38" s="62">
        <f>+(G38+I38+J38)*0.1*F38</f>
        <v>15.36</v>
      </c>
      <c r="Q38" s="62">
        <f>+(I38*H38+J38*H38)*F38</f>
        <v>30.72</v>
      </c>
      <c r="R38" s="62"/>
      <c r="S38" s="62"/>
      <c r="T38" s="62">
        <f>F38/15*(0.2*0.6*2+0.1*1.2)</f>
        <v>4.608</v>
      </c>
      <c r="U38" s="62">
        <f>(O38+Q38)/5</f>
        <v>9.216</v>
      </c>
      <c r="V38" s="62">
        <f>(F38)*H38*4</f>
        <v>307.2</v>
      </c>
      <c r="W38" s="83"/>
      <c r="X38" s="80"/>
      <c r="Y38" s="90"/>
    </row>
    <row r="39" s="45" customFormat="1" ht="21" customHeight="1" spans="1:25">
      <c r="A39" s="50"/>
      <c r="B39" s="64"/>
      <c r="C39" s="17" t="s">
        <v>28</v>
      </c>
      <c r="D39" s="65" t="s">
        <v>29</v>
      </c>
      <c r="E39" s="65" t="s">
        <v>29</v>
      </c>
      <c r="F39" s="65">
        <f>SUM(F22:F38)</f>
        <v>1077</v>
      </c>
      <c r="G39" s="17" t="s">
        <v>29</v>
      </c>
      <c r="H39" s="17" t="s">
        <v>29</v>
      </c>
      <c r="I39" s="17" t="s">
        <v>29</v>
      </c>
      <c r="J39" s="17" t="s">
        <v>29</v>
      </c>
      <c r="K39" s="17" t="s">
        <v>29</v>
      </c>
      <c r="L39" s="18">
        <f>SUM(L22:L38)</f>
        <v>86.16</v>
      </c>
      <c r="M39" s="18">
        <f t="shared" ref="M39:V39" si="32">SUM(M22:M38)</f>
        <v>516.96</v>
      </c>
      <c r="N39" s="18">
        <f t="shared" si="32"/>
        <v>344.64</v>
      </c>
      <c r="O39" s="18">
        <f t="shared" si="32"/>
        <v>86.16</v>
      </c>
      <c r="P39" s="18">
        <f t="shared" si="32"/>
        <v>86.16</v>
      </c>
      <c r="Q39" s="18">
        <f t="shared" si="32"/>
        <v>172.32</v>
      </c>
      <c r="R39" s="18">
        <f t="shared" si="32"/>
        <v>0</v>
      </c>
      <c r="S39" s="18">
        <f t="shared" si="32"/>
        <v>0</v>
      </c>
      <c r="T39" s="18">
        <f t="shared" si="32"/>
        <v>25.848</v>
      </c>
      <c r="U39" s="18">
        <f t="shared" si="32"/>
        <v>51.696</v>
      </c>
      <c r="V39" s="18">
        <f t="shared" si="32"/>
        <v>1723.2</v>
      </c>
      <c r="W39" s="85"/>
      <c r="X39" s="81"/>
      <c r="Y39" s="90"/>
    </row>
    <row r="40" s="47" customFormat="1" ht="21" customHeight="1" spans="1:25">
      <c r="A40" s="66"/>
      <c r="B40" s="67"/>
      <c r="C40" s="67"/>
      <c r="D40" s="68"/>
      <c r="E40" s="68"/>
      <c r="F40" s="68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6"/>
    </row>
    <row r="41" s="47" customFormat="1" customHeight="1" spans="4:6">
      <c r="D41" s="49"/>
      <c r="E41" s="49"/>
      <c r="F41" s="49"/>
    </row>
    <row r="42" s="47" customFormat="1" ht="21" customHeight="1" spans="1:25">
      <c r="A42" s="66"/>
      <c r="B42" s="67"/>
      <c r="C42" s="67"/>
      <c r="D42" s="68"/>
      <c r="E42" s="68"/>
      <c r="F42" s="68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6"/>
    </row>
    <row r="43" s="48" customFormat="1" customHeight="1" spans="4:6">
      <c r="D43" s="69"/>
      <c r="E43" s="69"/>
      <c r="F43" s="69"/>
    </row>
    <row r="44" s="48" customFormat="1" customHeight="1" spans="4:6">
      <c r="D44" s="69"/>
      <c r="E44" s="69"/>
      <c r="F44" s="69"/>
    </row>
    <row r="45" s="45" customFormat="1" ht="28.9" customHeight="1" spans="2:25"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91"/>
    </row>
    <row r="46" s="45" customFormat="1" ht="28.9" customHeight="1" spans="1:25">
      <c r="A46" s="50"/>
      <c r="B46" s="51" t="s">
        <v>34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73"/>
      <c r="X46" s="74"/>
      <c r="Y46" s="86"/>
    </row>
    <row r="47" s="47" customFormat="1" ht="39.95" customHeight="1" spans="1:26">
      <c r="A47" s="53"/>
      <c r="B47" s="54" t="s">
        <v>1</v>
      </c>
      <c r="C47" s="55" t="s">
        <v>2</v>
      </c>
      <c r="D47" s="56" t="s">
        <v>3</v>
      </c>
      <c r="E47" s="56" t="s">
        <v>4</v>
      </c>
      <c r="F47" s="56" t="s">
        <v>5</v>
      </c>
      <c r="G47" s="57" t="s">
        <v>6</v>
      </c>
      <c r="H47" s="57" t="s">
        <v>7</v>
      </c>
      <c r="I47" s="57" t="s">
        <v>8</v>
      </c>
      <c r="J47" s="57" t="s">
        <v>9</v>
      </c>
      <c r="K47" s="57" t="s">
        <v>10</v>
      </c>
      <c r="L47" s="57" t="s">
        <v>11</v>
      </c>
      <c r="M47" s="57" t="s">
        <v>12</v>
      </c>
      <c r="N47" s="72" t="s">
        <v>13</v>
      </c>
      <c r="O47" s="57" t="s">
        <v>31</v>
      </c>
      <c r="P47" s="57" t="s">
        <v>15</v>
      </c>
      <c r="Q47" s="57" t="s">
        <v>32</v>
      </c>
      <c r="R47" s="57" t="s">
        <v>17</v>
      </c>
      <c r="S47" s="57" t="s">
        <v>18</v>
      </c>
      <c r="T47" s="57" t="s">
        <v>19</v>
      </c>
      <c r="U47" s="57" t="s">
        <v>20</v>
      </c>
      <c r="V47" s="57" t="s">
        <v>21</v>
      </c>
      <c r="W47" s="75" t="s">
        <v>22</v>
      </c>
      <c r="X47" s="76" t="s">
        <v>23</v>
      </c>
      <c r="Y47" s="87"/>
      <c r="Z47" s="88"/>
    </row>
    <row r="48" s="46" customFormat="1" ht="21" customHeight="1" spans="1:25">
      <c r="A48" s="58"/>
      <c r="B48" s="59" t="s">
        <v>35</v>
      </c>
      <c r="C48" s="60">
        <v>1</v>
      </c>
      <c r="D48" s="61">
        <v>0</v>
      </c>
      <c r="E48" s="61">
        <v>236</v>
      </c>
      <c r="F48" s="61">
        <f>E48-D48</f>
        <v>236</v>
      </c>
      <c r="G48" s="62">
        <v>0.8</v>
      </c>
      <c r="H48" s="62">
        <v>0.4</v>
      </c>
      <c r="I48" s="62">
        <v>0.2</v>
      </c>
      <c r="J48" s="62">
        <v>0.2</v>
      </c>
      <c r="K48" s="62">
        <v>0.1</v>
      </c>
      <c r="L48" s="62">
        <f>(G48+I48+J48)*0.1*F48</f>
        <v>28.32</v>
      </c>
      <c r="M48" s="62">
        <f>((0.3+J48)+(H48*0.5+0.3+J48))*H48/2*2*F48</f>
        <v>113.28</v>
      </c>
      <c r="N48" s="62">
        <f>(0.3+(H48*0.5+0.3))*H48/2*2*F48</f>
        <v>75.52</v>
      </c>
      <c r="O48" s="62">
        <f>+(G48+I48+J48)*K48*(F48)</f>
        <v>28.32</v>
      </c>
      <c r="P48" s="62">
        <f>+(G48+I48+J48)*0.1*F48</f>
        <v>28.32</v>
      </c>
      <c r="Q48" s="62">
        <f>+(I48*H48+J48*H48)*F48</f>
        <v>37.76</v>
      </c>
      <c r="R48" s="62"/>
      <c r="S48" s="62"/>
      <c r="T48" s="62">
        <f>F48/15*(0.2*0.6*2+0.1*1.2)</f>
        <v>5.664</v>
      </c>
      <c r="U48" s="62">
        <f>(O48+Q48)/5</f>
        <v>13.216</v>
      </c>
      <c r="V48" s="62">
        <f>(F48)*H48*4</f>
        <v>377.6</v>
      </c>
      <c r="W48" s="82"/>
      <c r="X48" s="77"/>
      <c r="Y48" s="89"/>
    </row>
    <row r="49" s="45" customFormat="1" ht="21" customHeight="1" spans="1:25">
      <c r="A49" s="50"/>
      <c r="B49" s="64"/>
      <c r="C49" s="17" t="s">
        <v>28</v>
      </c>
      <c r="D49" s="65" t="s">
        <v>29</v>
      </c>
      <c r="E49" s="65" t="s">
        <v>29</v>
      </c>
      <c r="F49" s="65">
        <f>SUM(F48:F48)</f>
        <v>236</v>
      </c>
      <c r="G49" s="17" t="s">
        <v>29</v>
      </c>
      <c r="H49" s="17" t="s">
        <v>29</v>
      </c>
      <c r="I49" s="17" t="s">
        <v>29</v>
      </c>
      <c r="J49" s="17" t="s">
        <v>29</v>
      </c>
      <c r="K49" s="17" t="s">
        <v>29</v>
      </c>
      <c r="L49" s="18">
        <f t="shared" ref="L49:V49" si="33">SUM(L48:L48)</f>
        <v>28.32</v>
      </c>
      <c r="M49" s="18">
        <f t="shared" si="33"/>
        <v>113.28</v>
      </c>
      <c r="N49" s="18">
        <f t="shared" si="33"/>
        <v>75.52</v>
      </c>
      <c r="O49" s="18">
        <f t="shared" si="33"/>
        <v>28.32</v>
      </c>
      <c r="P49" s="18">
        <f t="shared" si="33"/>
        <v>28.32</v>
      </c>
      <c r="Q49" s="18">
        <f t="shared" si="33"/>
        <v>37.76</v>
      </c>
      <c r="R49" s="18">
        <f t="shared" si="33"/>
        <v>0</v>
      </c>
      <c r="S49" s="18">
        <f t="shared" si="33"/>
        <v>0</v>
      </c>
      <c r="T49" s="18">
        <f t="shared" si="33"/>
        <v>5.664</v>
      </c>
      <c r="U49" s="18">
        <f t="shared" si="33"/>
        <v>13.216</v>
      </c>
      <c r="V49" s="18">
        <f t="shared" si="33"/>
        <v>377.6</v>
      </c>
      <c r="W49" s="85"/>
      <c r="X49" s="81"/>
      <c r="Y49" s="90"/>
    </row>
  </sheetData>
  <mergeCells count="6">
    <mergeCell ref="B2:X2"/>
    <mergeCell ref="B20:X20"/>
    <mergeCell ref="B46:X46"/>
    <mergeCell ref="B4:B15"/>
    <mergeCell ref="B22:B39"/>
    <mergeCell ref="B48:B49"/>
  </mergeCells>
  <pageMargins left="0.699305555555556" right="0.699305555555556" top="0.75" bottom="0.75" header="0.3" footer="0.3"/>
  <pageSetup paperSize="9" scale="20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R25"/>
  <sheetViews>
    <sheetView workbookViewId="0">
      <selection activeCell="T25" sqref="T25"/>
    </sheetView>
  </sheetViews>
  <sheetFormatPr defaultColWidth="9" defaultRowHeight="13.5"/>
  <cols>
    <col min="3" max="3" width="15.75" customWidth="1"/>
    <col min="16" max="17" width="10.875" customWidth="1"/>
  </cols>
  <sheetData>
    <row r="4" ht="14.25"/>
    <row r="5" ht="30" customHeight="1" spans="2:18">
      <c r="B5" s="3" t="s">
        <v>36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4"/>
      <c r="R5" s="35"/>
    </row>
    <row r="6" s="1" customFormat="1" ht="30" customHeight="1" spans="2:18">
      <c r="B6" s="5" t="s">
        <v>37</v>
      </c>
      <c r="C6" s="6" t="s">
        <v>38</v>
      </c>
      <c r="D6" s="6" t="s">
        <v>39</v>
      </c>
      <c r="E6" s="7" t="s">
        <v>40</v>
      </c>
      <c r="F6" s="7" t="s">
        <v>41</v>
      </c>
      <c r="G6" s="7" t="s">
        <v>42</v>
      </c>
      <c r="H6" s="6" t="s">
        <v>43</v>
      </c>
      <c r="I6" s="6" t="s">
        <v>44</v>
      </c>
      <c r="J6" s="27" t="s">
        <v>45</v>
      </c>
      <c r="K6" s="7" t="s">
        <v>46</v>
      </c>
      <c r="L6" s="7"/>
      <c r="M6" s="7"/>
      <c r="N6" s="28" t="s">
        <v>47</v>
      </c>
      <c r="O6" s="28"/>
      <c r="P6" s="28" t="s">
        <v>48</v>
      </c>
      <c r="Q6" s="36"/>
      <c r="R6" s="37" t="s">
        <v>23</v>
      </c>
    </row>
    <row r="7" s="1" customFormat="1" ht="30" customHeight="1" spans="2:18">
      <c r="B7" s="8"/>
      <c r="C7" s="9"/>
      <c r="D7" s="9"/>
      <c r="E7" s="10"/>
      <c r="F7" s="10"/>
      <c r="G7" s="10"/>
      <c r="H7" s="9"/>
      <c r="I7" s="9"/>
      <c r="J7" s="29"/>
      <c r="K7" s="9" t="s">
        <v>49</v>
      </c>
      <c r="L7" s="9" t="s">
        <v>50</v>
      </c>
      <c r="M7" s="9" t="s">
        <v>51</v>
      </c>
      <c r="N7" s="9" t="s">
        <v>52</v>
      </c>
      <c r="O7" s="9" t="s">
        <v>53</v>
      </c>
      <c r="P7" s="9" t="s">
        <v>54</v>
      </c>
      <c r="Q7" s="38"/>
      <c r="R7" s="39"/>
    </row>
    <row r="8" s="1" customFormat="1" ht="21" customHeight="1" spans="2:18">
      <c r="B8" s="11">
        <v>1590</v>
      </c>
      <c r="C8" s="12" t="s">
        <v>55</v>
      </c>
      <c r="D8" s="13">
        <v>1506</v>
      </c>
      <c r="E8" s="10">
        <v>3.5</v>
      </c>
      <c r="F8" s="10">
        <v>4.5</v>
      </c>
      <c r="G8" s="10">
        <v>0.5</v>
      </c>
      <c r="H8" s="9"/>
      <c r="I8" s="9" t="s">
        <v>56</v>
      </c>
      <c r="J8" s="9"/>
      <c r="K8" s="9">
        <f>0.3*0.5*D8*2</f>
        <v>451.8</v>
      </c>
      <c r="L8" s="9"/>
      <c r="M8" s="9"/>
      <c r="N8" s="9">
        <f>D8*F8</f>
        <v>6777</v>
      </c>
      <c r="O8" s="9">
        <f>(E8+0.25)*D8</f>
        <v>5647.5</v>
      </c>
      <c r="P8" s="9">
        <f>E8*D8</f>
        <v>5271</v>
      </c>
      <c r="Q8" s="38"/>
      <c r="R8" s="39"/>
    </row>
    <row r="9" s="1" customFormat="1" ht="21" customHeight="1" spans="2:18">
      <c r="B9" s="11"/>
      <c r="C9" s="12" t="s">
        <v>57</v>
      </c>
      <c r="D9" s="13">
        <v>84</v>
      </c>
      <c r="E9" s="10">
        <v>3</v>
      </c>
      <c r="F9" s="10">
        <v>4</v>
      </c>
      <c r="G9" s="10">
        <v>0.5</v>
      </c>
      <c r="H9" s="9"/>
      <c r="I9" s="9" t="s">
        <v>56</v>
      </c>
      <c r="J9" s="9"/>
      <c r="K9" s="9">
        <f>0.3*0.5*D9*2</f>
        <v>25.2</v>
      </c>
      <c r="L9" s="9"/>
      <c r="M9" s="9"/>
      <c r="N9" s="9">
        <f>D9*F9</f>
        <v>336</v>
      </c>
      <c r="O9" s="9">
        <f>(E9+0.25)*D9</f>
        <v>273</v>
      </c>
      <c r="P9" s="9">
        <f>E9*D9</f>
        <v>252</v>
      </c>
      <c r="Q9" s="38"/>
      <c r="R9" s="39"/>
    </row>
    <row r="10" s="1" customFormat="1" ht="21" customHeight="1" spans="2:18">
      <c r="B10" s="14"/>
      <c r="C10" s="15" t="s">
        <v>58</v>
      </c>
      <c r="D10" s="16">
        <f>SUM(D8:D9)</f>
        <v>1590</v>
      </c>
      <c r="E10" s="17" t="s">
        <v>29</v>
      </c>
      <c r="F10" s="17" t="s">
        <v>29</v>
      </c>
      <c r="G10" s="17" t="s">
        <v>29</v>
      </c>
      <c r="H10" s="18" t="s">
        <v>29</v>
      </c>
      <c r="I10" s="18" t="s">
        <v>29</v>
      </c>
      <c r="J10" s="30" t="s">
        <v>59</v>
      </c>
      <c r="K10" s="30">
        <f>SUM(K8:K9)</f>
        <v>477</v>
      </c>
      <c r="L10" s="30"/>
      <c r="M10" s="30"/>
      <c r="N10" s="30">
        <f>SUM(N8:N9)</f>
        <v>7113</v>
      </c>
      <c r="O10" s="30">
        <f>SUM(O8:O9)</f>
        <v>5920.5</v>
      </c>
      <c r="P10" s="30">
        <f>SUM(P8:P9)</f>
        <v>5523</v>
      </c>
      <c r="Q10" s="40"/>
      <c r="R10" s="41"/>
    </row>
    <row r="11" s="1" customFormat="1" ht="21" customHeight="1" spans="2:17">
      <c r="B11" s="19"/>
      <c r="C11" s="19"/>
      <c r="D11" s="20"/>
      <c r="E11" s="21"/>
      <c r="F11" s="21"/>
      <c r="G11" s="21"/>
      <c r="H11" s="22"/>
      <c r="I11" s="22"/>
      <c r="J11" s="31"/>
      <c r="K11" s="31"/>
      <c r="L11" s="31"/>
      <c r="M11" s="31"/>
      <c r="N11" s="31"/>
      <c r="O11" s="31"/>
      <c r="P11" s="31"/>
      <c r="Q11" s="31"/>
    </row>
    <row r="12" s="1" customFormat="1" ht="21" customHeight="1" spans="2:17">
      <c r="B12" s="19"/>
      <c r="C12" s="19"/>
      <c r="D12" s="20"/>
      <c r="E12" s="21"/>
      <c r="F12" s="21"/>
      <c r="G12" s="21"/>
      <c r="H12" s="22"/>
      <c r="I12" s="22"/>
      <c r="J12" s="31"/>
      <c r="K12" s="31"/>
      <c r="L12" s="31"/>
      <c r="M12" s="31"/>
      <c r="N12" s="31"/>
      <c r="O12" s="31"/>
      <c r="P12" s="31"/>
      <c r="Q12" s="31"/>
    </row>
    <row r="14" s="2" customFormat="1"/>
    <row r="15" s="2" customFormat="1"/>
    <row r="17" ht="14.25"/>
    <row r="18" customFormat="1" ht="30" customHeight="1" spans="2:18">
      <c r="B18" s="3" t="s">
        <v>60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34"/>
      <c r="R18" s="35"/>
    </row>
    <row r="19" s="1" customFormat="1" ht="30" customHeight="1" spans="2:18">
      <c r="B19" s="5" t="s">
        <v>37</v>
      </c>
      <c r="C19" s="6" t="s">
        <v>38</v>
      </c>
      <c r="D19" s="6" t="s">
        <v>39</v>
      </c>
      <c r="E19" s="7" t="s">
        <v>40</v>
      </c>
      <c r="F19" s="7" t="s">
        <v>41</v>
      </c>
      <c r="G19" s="7" t="s">
        <v>42</v>
      </c>
      <c r="H19" s="6" t="s">
        <v>43</v>
      </c>
      <c r="I19" s="6" t="s">
        <v>44</v>
      </c>
      <c r="J19" s="27" t="s">
        <v>45</v>
      </c>
      <c r="K19" s="7" t="s">
        <v>46</v>
      </c>
      <c r="L19" s="7"/>
      <c r="M19" s="7"/>
      <c r="N19" s="28" t="s">
        <v>47</v>
      </c>
      <c r="O19" s="28"/>
      <c r="P19" s="28" t="s">
        <v>48</v>
      </c>
      <c r="Q19" s="42" t="s">
        <v>61</v>
      </c>
      <c r="R19" s="37" t="s">
        <v>23</v>
      </c>
    </row>
    <row r="20" s="1" customFormat="1" ht="30" customHeight="1" spans="2:18">
      <c r="B20" s="8"/>
      <c r="C20" s="9"/>
      <c r="D20" s="9"/>
      <c r="E20" s="10"/>
      <c r="F20" s="10"/>
      <c r="G20" s="10"/>
      <c r="H20" s="9"/>
      <c r="I20" s="9"/>
      <c r="J20" s="29"/>
      <c r="K20" s="9" t="s">
        <v>49</v>
      </c>
      <c r="L20" s="9" t="s">
        <v>50</v>
      </c>
      <c r="M20" s="9" t="s">
        <v>51</v>
      </c>
      <c r="N20" s="9" t="s">
        <v>52</v>
      </c>
      <c r="O20" s="9" t="s">
        <v>53</v>
      </c>
      <c r="P20" s="9" t="s">
        <v>54</v>
      </c>
      <c r="Q20" s="43"/>
      <c r="R20" s="39"/>
    </row>
    <row r="21" s="1" customFormat="1" ht="21" customHeight="1" spans="2:18">
      <c r="B21" s="11">
        <v>350</v>
      </c>
      <c r="C21" s="12" t="s">
        <v>62</v>
      </c>
      <c r="D21" s="13">
        <v>350</v>
      </c>
      <c r="E21" s="10">
        <v>3</v>
      </c>
      <c r="F21" s="10">
        <v>4</v>
      </c>
      <c r="G21" s="10">
        <v>0.5</v>
      </c>
      <c r="H21" s="9"/>
      <c r="I21" s="9" t="s">
        <v>56</v>
      </c>
      <c r="J21" s="9"/>
      <c r="K21" s="9">
        <f>0.3*0.5*D21*2</f>
        <v>105</v>
      </c>
      <c r="L21" s="9"/>
      <c r="M21" s="9"/>
      <c r="N21" s="9">
        <f>D21*F21</f>
        <v>1400</v>
      </c>
      <c r="O21" s="9">
        <f>(E21+0.25)*D21</f>
        <v>1137.5</v>
      </c>
      <c r="P21" s="9">
        <f>E21*D21</f>
        <v>1050</v>
      </c>
      <c r="Q21" s="38"/>
      <c r="R21" s="39"/>
    </row>
    <row r="22" s="1" customFormat="1" ht="21" customHeight="1" spans="2:18">
      <c r="B22" s="11"/>
      <c r="C22" s="12" t="s">
        <v>63</v>
      </c>
      <c r="D22" s="13">
        <v>26</v>
      </c>
      <c r="E22" s="10"/>
      <c r="F22" s="10"/>
      <c r="G22" s="10"/>
      <c r="H22" s="9"/>
      <c r="I22" s="9"/>
      <c r="J22" s="9"/>
      <c r="K22" s="9"/>
      <c r="L22" s="32"/>
      <c r="M22" s="9">
        <f>D22*1*0.6</f>
        <v>15.6</v>
      </c>
      <c r="N22" s="9"/>
      <c r="O22" s="9"/>
      <c r="P22" s="9"/>
      <c r="Q22" s="38">
        <f>D22*1.5*2</f>
        <v>78</v>
      </c>
      <c r="R22" s="44" t="s">
        <v>64</v>
      </c>
    </row>
    <row r="23" s="1" customFormat="1" ht="21" customHeight="1" spans="2:18">
      <c r="B23" s="23"/>
      <c r="C23" s="12" t="s">
        <v>65</v>
      </c>
      <c r="D23" s="24">
        <v>20</v>
      </c>
      <c r="E23" s="25"/>
      <c r="F23" s="25"/>
      <c r="G23" s="25"/>
      <c r="H23" s="26"/>
      <c r="I23" s="26"/>
      <c r="J23" s="33"/>
      <c r="K23" s="33"/>
      <c r="L23" s="32"/>
      <c r="M23" s="9">
        <f>D23*1.3*0.6</f>
        <v>15.6</v>
      </c>
      <c r="N23" s="33"/>
      <c r="O23" s="33"/>
      <c r="P23" s="33"/>
      <c r="Q23" s="38">
        <f>D23*1.5*2</f>
        <v>60</v>
      </c>
      <c r="R23" s="44" t="s">
        <v>64</v>
      </c>
    </row>
    <row r="24" s="1" customFormat="1" ht="21" customHeight="1" spans="2:18">
      <c r="B24" s="23"/>
      <c r="C24" s="12" t="s">
        <v>66</v>
      </c>
      <c r="D24" s="24">
        <v>21</v>
      </c>
      <c r="E24" s="25"/>
      <c r="F24" s="25"/>
      <c r="G24" s="25"/>
      <c r="H24" s="26"/>
      <c r="I24" s="26"/>
      <c r="J24" s="33"/>
      <c r="K24" s="33"/>
      <c r="L24" s="32"/>
      <c r="M24" s="9">
        <f>D24*1.9*1</f>
        <v>39.9</v>
      </c>
      <c r="N24" s="33"/>
      <c r="O24" s="33"/>
      <c r="P24" s="33"/>
      <c r="Q24" s="38">
        <f>D24*1.5*2</f>
        <v>63</v>
      </c>
      <c r="R24" s="44" t="s">
        <v>64</v>
      </c>
    </row>
    <row r="25" s="1" customFormat="1" ht="21" customHeight="1" spans="2:18">
      <c r="B25" s="14"/>
      <c r="C25" s="15" t="s">
        <v>58</v>
      </c>
      <c r="D25" s="16">
        <f>SUM(D21)</f>
        <v>350</v>
      </c>
      <c r="E25" s="17" t="s">
        <v>29</v>
      </c>
      <c r="F25" s="17" t="s">
        <v>29</v>
      </c>
      <c r="G25" s="17" t="s">
        <v>29</v>
      </c>
      <c r="H25" s="18" t="s">
        <v>29</v>
      </c>
      <c r="I25" s="18" t="s">
        <v>29</v>
      </c>
      <c r="J25" s="17" t="s">
        <v>29</v>
      </c>
      <c r="K25" s="30">
        <f>SUM(K21:K22)</f>
        <v>105</v>
      </c>
      <c r="L25" s="17" t="s">
        <v>29</v>
      </c>
      <c r="M25" s="30">
        <f>SUM(M21:M24)</f>
        <v>71.1</v>
      </c>
      <c r="N25" s="30">
        <f>SUM(N21:N22)</f>
        <v>1400</v>
      </c>
      <c r="O25" s="30">
        <f>SUM(O21:O22)</f>
        <v>1137.5</v>
      </c>
      <c r="P25" s="30">
        <f>SUM(P21:P22)</f>
        <v>1050</v>
      </c>
      <c r="Q25" s="40">
        <f>SUM(Q22:Q24)</f>
        <v>201</v>
      </c>
      <c r="R25" s="41"/>
    </row>
  </sheetData>
  <mergeCells count="27">
    <mergeCell ref="B5:R5"/>
    <mergeCell ref="K6:M6"/>
    <mergeCell ref="N6:O6"/>
    <mergeCell ref="B18:R18"/>
    <mergeCell ref="K19:M19"/>
    <mergeCell ref="N19:O19"/>
    <mergeCell ref="B6:B7"/>
    <mergeCell ref="B8:B10"/>
    <mergeCell ref="B19:B20"/>
    <mergeCell ref="B21:B25"/>
    <mergeCell ref="C6:C7"/>
    <mergeCell ref="C19:C20"/>
    <mergeCell ref="D6:D7"/>
    <mergeCell ref="D19:D20"/>
    <mergeCell ref="E6:E7"/>
    <mergeCell ref="E19:E20"/>
    <mergeCell ref="F6:F7"/>
    <mergeCell ref="F19:F20"/>
    <mergeCell ref="G6:G7"/>
    <mergeCell ref="G19:G20"/>
    <mergeCell ref="H6:H7"/>
    <mergeCell ref="H19:H20"/>
    <mergeCell ref="I6:I7"/>
    <mergeCell ref="I19:I20"/>
    <mergeCell ref="J6:J7"/>
    <mergeCell ref="J19:J20"/>
    <mergeCell ref="Q19:Q20"/>
  </mergeCells>
  <pageMargins left="0.75" right="0.75" top="1" bottom="1" header="0.5" footer="0.5"/>
  <pageSetup paperSize="9" scale="4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渠道工程数量表</vt:lpstr>
      <vt:lpstr>道路工程数量表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1</cp:lastModifiedBy>
  <dcterms:created xsi:type="dcterms:W3CDTF">2022-04-28T08:58:00Z</dcterms:created>
  <dcterms:modified xsi:type="dcterms:W3CDTF">2024-12-31T14:10:04Z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1DBE0183ADF64114A7537F98C35AD8EF_13</vt:lpwstr>
  </property>
  <property fmtid="{D5CDD505-2E9C-101B-9397-08002B2CF9AE}" pid="3" name="KSOProductBuildVer">
    <vt:lpwstr>2052-12.1.0.19770</vt:lpwstr>
  </property>
</Properties>
</file>