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tabRatio="500" activeTab="1"/>
  </bookViews>
  <sheets>
    <sheet name="封-2 招标控制价" sheetId="11" r:id="rId1"/>
    <sheet name="扉-2 招标控制价" sheetId="12" r:id="rId2"/>
    <sheet name="表-01总说明" sheetId="24" r:id="rId3"/>
    <sheet name="工程项目总价表" sheetId="25" r:id="rId4"/>
    <sheet name="分类分项工程量清单(建筑)" sheetId="26" r:id="rId5"/>
    <sheet name="分类分项工程量清单(安装)" sheetId="27" r:id="rId6"/>
    <sheet name="分类分项工程量清单(临时)" sheetId="28" r:id="rId7"/>
    <sheet name="措施项目清单" sheetId="29" r:id="rId8"/>
    <sheet name="其他项目清单" sheetId="30" r:id="rId9"/>
    <sheet name="工程单价汇总表" sheetId="31" r:id="rId10"/>
    <sheet name="工程单价费(税)率汇总表" sheetId="32" r:id="rId11"/>
    <sheet name="电、风、水、砂石基础单价汇总表" sheetId="33" r:id="rId12"/>
    <sheet name="混凝土配合比材料费表" sheetId="34" r:id="rId13"/>
    <sheet name="主要材料预算价格汇总表" sheetId="35" r:id="rId14"/>
    <sheet name="施工机械台时费汇总表" sheetId="36" r:id="rId15"/>
    <sheet name="工程单价计算表" sheetId="37" r:id="rId16"/>
    <sheet name="人工费单价汇总表" sheetId="38" r:id="rId17"/>
    <sheet name="主要材料总消耗量统计表" sheetId="39" r:id="rId18"/>
    <sheet name="次要材料总消耗量统计表" sheetId="40" r:id="rId19"/>
    <sheet name="施工机械总消耗量统计表" sheetId="41" r:id="rId20"/>
  </sheets>
  <definedNames>
    <definedName name="金结部分序号">0</definedName>
    <definedName name="金结安装节点号">","</definedName>
  </definedNames>
  <calcPr calcId="144525" concurrentCalc="0"/>
</workbook>
</file>

<file path=xl/sharedStrings.xml><?xml version="1.0" encoding="utf-8"?>
<sst xmlns="http://schemas.openxmlformats.org/spreadsheetml/2006/main" count="2653" uniqueCount="599">
  <si>
    <t>那坡县城厢镇超群村杏香屯防护堤修复项目</t>
  </si>
  <si>
    <t>平果市铝精深加工产业园（一期）总承包（EPC）</t>
  </si>
  <si>
    <t>招 标 控 制 价</t>
  </si>
  <si>
    <t>那坡县水利工程管理站</t>
  </si>
  <si>
    <t>招  标  人:</t>
  </si>
  <si>
    <t>(单位盖章)</t>
  </si>
  <si>
    <t>造价咨询人:</t>
  </si>
  <si>
    <t>2025年04月21日</t>
  </si>
  <si>
    <t>2024年08月19日</t>
  </si>
  <si>
    <t>封-1</t>
  </si>
  <si>
    <t>招标控制价</t>
  </si>
  <si>
    <t>(小写):</t>
  </si>
  <si>
    <t>1355014.87元</t>
  </si>
  <si>
    <t>186509705.6元</t>
  </si>
  <si>
    <t>(大写):</t>
  </si>
  <si>
    <t>壹亿捌仟陆佰伍拾万零玖仟柒佰零伍元陆角整</t>
  </si>
  <si>
    <t>法定代表人 
或其授权人:</t>
  </si>
  <si>
    <t/>
  </si>
  <si>
    <t>(签字或盖章)</t>
  </si>
  <si>
    <t>编  制  人:</t>
  </si>
  <si>
    <t>复  核  人:</t>
  </si>
  <si>
    <t>(造价人员签字)</t>
  </si>
  <si>
    <t>(造价工程师签字盖专用章)</t>
  </si>
  <si>
    <t>编 制 时 间:</t>
  </si>
  <si>
    <t>复 核 时 间:</t>
  </si>
  <si>
    <t>扉-2</t>
  </si>
  <si>
    <t>总  说  明</t>
  </si>
  <si>
    <t>工程名称:那坡县城厢镇超群村杏香屯防护堤修复项目</t>
  </si>
  <si>
    <t>第1页 共1页</t>
  </si>
  <si>
    <t>一、工程概况：那坡县城厢镇超群村杏香屯防护堤修复项目。</t>
  </si>
  <si>
    <t>二、编制范围包括那坡县城厢镇超群村杏香屯防护堤修复项目的新建防堤护岸。</t>
  </si>
  <si>
    <t>三、编制依据：</t>
  </si>
  <si>
    <t>1.桂水基〔2007〕38号颁布的《广西水利水电工程设计概算编制规定》和《广西水利水电建筑工程预算定额》、《广西水利水电设备安装工程预算定额》、《广西壮族自治区水利水电工程机械台时费定额》；</t>
  </si>
  <si>
    <t>2.桂水基〔2014〕41号文颁布的的《广西壮族自治区水利水电建设工程概(预)算补充定额》；</t>
  </si>
  <si>
    <t>3.桂水基〔2016〕1号的《关于调整广西水利水电建设工程定额人工预算单价的通知》；</t>
  </si>
  <si>
    <t>4.桂水基〔2016〕7号《水利厅关于进一步规范使用水利工程工程量清单计价规范的通知》</t>
  </si>
  <si>
    <t>5.水办基〔2016〕31号关于印发《水利工程营业税改增值税计价依据调整办法》的通知；</t>
  </si>
  <si>
    <t>6.桂水建设〔2019〕4号《自治区水厅关于调整水利工程增值税计算标准的通知》；</t>
  </si>
  <si>
    <t>7.广西自治区水利厅《自治区水厅关于调整水利工程安全文明施工措施费费率的通知》桂水建设〔2023〕4号；</t>
  </si>
  <si>
    <t>8、相关的标准、规范、技术资料。</t>
  </si>
  <si>
    <t>9、主要材料价格参照2025年《百色市建设工程造价信息》第2期那坡县建筑材料信息价格，其中那坡县没有发布材料信息价的材料，则参照右江区的价格或市场询价</t>
  </si>
  <si>
    <t>四、采用桂能水利软件进行编制。</t>
  </si>
  <si>
    <t>五、其他需要说明的问题</t>
  </si>
  <si>
    <t>六、本工程所发生的土方外运均暂时按5km考虑。</t>
  </si>
  <si>
    <t>表-01</t>
  </si>
  <si>
    <t>工程项目总价表</t>
  </si>
  <si>
    <t>招标编号：</t>
  </si>
  <si>
    <t>工程名称：</t>
  </si>
  <si>
    <t>序号</t>
  </si>
  <si>
    <t>工程项目名称</t>
  </si>
  <si>
    <t>金额(元)</t>
  </si>
  <si>
    <t>1</t>
  </si>
  <si>
    <t>杏香屯</t>
  </si>
  <si>
    <t>2</t>
  </si>
  <si>
    <t>施工道路</t>
  </si>
  <si>
    <t>3</t>
  </si>
  <si>
    <t>施工临时围堰</t>
  </si>
  <si>
    <t>4</t>
  </si>
  <si>
    <t>措施项目</t>
  </si>
  <si>
    <t>5</t>
  </si>
  <si>
    <t>其他项目</t>
  </si>
  <si>
    <t>合计</t>
  </si>
  <si>
    <t>分类分项工程量清单</t>
  </si>
  <si>
    <t>第1页 共4页</t>
  </si>
  <si>
    <t>项目编码</t>
  </si>
  <si>
    <t>项目名称</t>
  </si>
  <si>
    <t>计量
单位</t>
  </si>
  <si>
    <t>工程
数量</t>
  </si>
  <si>
    <t>综合单价
(元)</t>
  </si>
  <si>
    <t>合价
(元)</t>
  </si>
  <si>
    <t>主要技术条款编码</t>
  </si>
  <si>
    <t>备注</t>
  </si>
  <si>
    <t>1.1</t>
  </si>
  <si>
    <t>新建防护堤左岸（L=152m）</t>
  </si>
  <si>
    <t>1.1.1</t>
  </si>
  <si>
    <t>500101001001</t>
  </si>
  <si>
    <t>机械清理表土，厚度0.3m</t>
  </si>
  <si>
    <t>m²</t>
  </si>
  <si>
    <t>173.28</t>
  </si>
  <si>
    <t>1.1.2</t>
  </si>
  <si>
    <t>500101004001</t>
  </si>
  <si>
    <t>挖掘机沟槽，I~II类土（用于回填墙背）</t>
  </si>
  <si>
    <t>m³</t>
  </si>
  <si>
    <t>790.61</t>
  </si>
  <si>
    <t>1.1.3</t>
  </si>
  <si>
    <t>500101004002</t>
  </si>
  <si>
    <t>592.5</t>
  </si>
  <si>
    <t>1.1.4</t>
  </si>
  <si>
    <t>500101004003</t>
  </si>
  <si>
    <t>挖掘机沟槽，I~II类土，弃运5km</t>
  </si>
  <si>
    <t>1853.85</t>
  </si>
  <si>
    <t>1.1.5</t>
  </si>
  <si>
    <t>500101006001</t>
  </si>
  <si>
    <t>挖掘机挖沟槽，砂卵石（用于回填墙背）</t>
  </si>
  <si>
    <t>317.23</t>
  </si>
  <si>
    <t>1.1.6</t>
  </si>
  <si>
    <t>500103016001</t>
  </si>
  <si>
    <t>回填土石方，机械夯填土石</t>
  </si>
  <si>
    <t>1004.72</t>
  </si>
  <si>
    <t>1.1.7</t>
  </si>
  <si>
    <t>500101001002</t>
  </si>
  <si>
    <t>表土回覆</t>
  </si>
  <si>
    <t>1.1.8</t>
  </si>
  <si>
    <t>500109001001</t>
  </si>
  <si>
    <t>C20埋石砼挡墙（埋石率20%）</t>
  </si>
  <si>
    <t>992.6</t>
  </si>
  <si>
    <t>1.1.9</t>
  </si>
  <si>
    <t>500202009001</t>
  </si>
  <si>
    <t>PVC塑料管承插连接，公称直径75mm</t>
  </si>
  <si>
    <t>m</t>
  </si>
  <si>
    <t>119.2</t>
  </si>
  <si>
    <t>1.1.10</t>
  </si>
  <si>
    <t>500103005001</t>
  </si>
  <si>
    <t>级配砂石反滤包</t>
  </si>
  <si>
    <t>2.73</t>
  </si>
  <si>
    <t>1.1.11</t>
  </si>
  <si>
    <t>500103005002</t>
  </si>
  <si>
    <t>反滤包土工布</t>
  </si>
  <si>
    <t>54.54</t>
  </si>
  <si>
    <t>1.1.12</t>
  </si>
  <si>
    <t>500103016002</t>
  </si>
  <si>
    <t>抛填块石护脚</t>
  </si>
  <si>
    <t>115.5</t>
  </si>
  <si>
    <t>1.1.13</t>
  </si>
  <si>
    <t>500110004001</t>
  </si>
  <si>
    <t>普通标准钢模板制作、安装、拆除</t>
  </si>
  <si>
    <t>1064</t>
  </si>
  <si>
    <t>1.1.14</t>
  </si>
  <si>
    <t>500109009001</t>
  </si>
  <si>
    <t>常态混凝土伸缩缝，沥青木板</t>
  </si>
  <si>
    <t>91.42</t>
  </si>
  <si>
    <t>1.2</t>
  </si>
  <si>
    <t>新建防护堤右岸（L=200m）</t>
  </si>
  <si>
    <t>1.2.1</t>
  </si>
  <si>
    <t>500101001003</t>
  </si>
  <si>
    <t>227.58</t>
  </si>
  <si>
    <t>1.2.2</t>
  </si>
  <si>
    <t>500101004004</t>
  </si>
  <si>
    <t>718.99</t>
  </si>
  <si>
    <t>1.2.3</t>
  </si>
  <si>
    <t>500101004005</t>
  </si>
  <si>
    <t>2001.32</t>
  </si>
  <si>
    <t>1.2.4</t>
  </si>
  <si>
    <t>500101006002</t>
  </si>
  <si>
    <t>697.28</t>
  </si>
  <si>
    <t>1.2.5</t>
  </si>
  <si>
    <t>500103016003</t>
  </si>
  <si>
    <t>1322.49</t>
  </si>
  <si>
    <t>1.2.6</t>
  </si>
  <si>
    <t>500101001004</t>
  </si>
  <si>
    <t>第2页 共4页</t>
  </si>
  <si>
    <t>1.2.7</t>
  </si>
  <si>
    <t>500109001002</t>
  </si>
  <si>
    <t>1306</t>
  </si>
  <si>
    <t>1.2.8</t>
  </si>
  <si>
    <t>500202009002</t>
  </si>
  <si>
    <t>156.9</t>
  </si>
  <si>
    <t>1.2.9</t>
  </si>
  <si>
    <t>500103005003</t>
  </si>
  <si>
    <t>3.59</t>
  </si>
  <si>
    <t>1.2.10</t>
  </si>
  <si>
    <t>500103005004</t>
  </si>
  <si>
    <t>71.82</t>
  </si>
  <si>
    <t>1.2.11</t>
  </si>
  <si>
    <t>500103016004</t>
  </si>
  <si>
    <t>152</t>
  </si>
  <si>
    <t>1.2.12</t>
  </si>
  <si>
    <t>500110004002</t>
  </si>
  <si>
    <t>1400</t>
  </si>
  <si>
    <t>1.2.13</t>
  </si>
  <si>
    <t>500109009002</t>
  </si>
  <si>
    <t>124.07</t>
  </si>
  <si>
    <t>第3页 共4页</t>
  </si>
  <si>
    <t>永久设备及未计价装置性材料单价(元)</t>
  </si>
  <si>
    <t>安装单价
(元)</t>
  </si>
  <si>
    <t>永久设备及未计价装置性材料费(元)</t>
  </si>
  <si>
    <t>安装费
(元)</t>
  </si>
  <si>
    <t>第4页 共4页</t>
  </si>
  <si>
    <t>2.1</t>
  </si>
  <si>
    <t>500114002001</t>
  </si>
  <si>
    <t>施工临时道路（按5万元/km计列）</t>
  </si>
  <si>
    <t>km</t>
  </si>
  <si>
    <t>0.4</t>
  </si>
  <si>
    <t>3.1</t>
  </si>
  <si>
    <t>500114002002</t>
  </si>
  <si>
    <t>土围堰（利用开挖料）</t>
  </si>
  <si>
    <t>3.2</t>
  </si>
  <si>
    <t>500114002003</t>
  </si>
  <si>
    <t>围堰拆除，运距5km</t>
  </si>
  <si>
    <t>3.3</t>
  </si>
  <si>
    <t>500114002004</t>
  </si>
  <si>
    <t>彩条布斜铺，1:1.5边坡</t>
  </si>
  <si>
    <t>358</t>
  </si>
  <si>
    <t>措施项目清单</t>
  </si>
  <si>
    <t>其他施工临时工程</t>
  </si>
  <si>
    <t>其他项目清单</t>
  </si>
  <si>
    <t>建筑工程意外伤害保险费</t>
  </si>
  <si>
    <t>工程单价汇总表</t>
  </si>
  <si>
    <t>第1页 共3页</t>
  </si>
  <si>
    <t>人工费</t>
  </si>
  <si>
    <t>材料费</t>
  </si>
  <si>
    <t>机械
使用费</t>
  </si>
  <si>
    <t>其他
直接费</t>
  </si>
  <si>
    <t>现场
经费</t>
  </si>
  <si>
    <t>施工
管理费</t>
  </si>
  <si>
    <t>社会保障
及企业计
提费</t>
  </si>
  <si>
    <t>企业
利润</t>
  </si>
  <si>
    <t>价差</t>
  </si>
  <si>
    <t>风险金</t>
  </si>
  <si>
    <t>税金</t>
  </si>
  <si>
    <t>第2页 共3页</t>
  </si>
  <si>
    <t>50000.00</t>
  </si>
  <si>
    <t>第3页 共3页</t>
  </si>
  <si>
    <t>工程单价费(税)率汇总表</t>
  </si>
  <si>
    <t>工程类别</t>
  </si>
  <si>
    <t>工程单价费(税)率(%)</t>
  </si>
  <si>
    <t>社会保障及企业计提费</t>
  </si>
  <si>
    <t>一</t>
  </si>
  <si>
    <t>建筑工程</t>
  </si>
  <si>
    <t>土方工程</t>
  </si>
  <si>
    <t>4.5</t>
  </si>
  <si>
    <t>3.7</t>
  </si>
  <si>
    <t>32.8</t>
  </si>
  <si>
    <t>7</t>
  </si>
  <si>
    <t>0</t>
  </si>
  <si>
    <t>9</t>
  </si>
  <si>
    <t>石方工程</t>
  </si>
  <si>
    <t>6</t>
  </si>
  <si>
    <t>5.7</t>
  </si>
  <si>
    <t>土石填筑工程</t>
  </si>
  <si>
    <t>5.8</t>
  </si>
  <si>
    <t>混凝土工程</t>
  </si>
  <si>
    <t>钢筋制安工程</t>
  </si>
  <si>
    <t>3.5</t>
  </si>
  <si>
    <t>模板工程</t>
  </si>
  <si>
    <t>钻孔灌浆锚固工程</t>
  </si>
  <si>
    <t>6.6</t>
  </si>
  <si>
    <t>8</t>
  </si>
  <si>
    <t>自采砂石料工程</t>
  </si>
  <si>
    <t>植物措施</t>
  </si>
  <si>
    <t>3.8</t>
  </si>
  <si>
    <t>10</t>
  </si>
  <si>
    <t>疏浚工程</t>
  </si>
  <si>
    <t>4.6</t>
  </si>
  <si>
    <t>11</t>
  </si>
  <si>
    <t>其他建筑工程</t>
  </si>
  <si>
    <t>4.8</t>
  </si>
  <si>
    <t>二</t>
  </si>
  <si>
    <t>安装工程</t>
  </si>
  <si>
    <t>5.2</t>
  </si>
  <si>
    <t>45</t>
  </si>
  <si>
    <t>47</t>
  </si>
  <si>
    <t>电、风、水、砂石基础单价汇总表</t>
  </si>
  <si>
    <t>单位：元</t>
  </si>
  <si>
    <t>名称</t>
  </si>
  <si>
    <t>型号规格</t>
  </si>
  <si>
    <t>其他</t>
  </si>
  <si>
    <t>电</t>
  </si>
  <si>
    <t>kW.h</t>
  </si>
  <si>
    <t>水</t>
  </si>
  <si>
    <t>风</t>
  </si>
  <si>
    <t>混凝土配合比材料表</t>
  </si>
  <si>
    <t>工程
部位</t>
  </si>
  <si>
    <t>混凝土
强度等级</t>
  </si>
  <si>
    <t>水泥
强度等级</t>
  </si>
  <si>
    <t>级配</t>
  </si>
  <si>
    <t>水灰比</t>
  </si>
  <si>
    <t>预算材料量(kg/m³)</t>
  </si>
  <si>
    <t>单价
(元/m³)</t>
  </si>
  <si>
    <t>水泥
(kg)</t>
  </si>
  <si>
    <t>砂
(m³)</t>
  </si>
  <si>
    <t>石
(m³)</t>
  </si>
  <si>
    <t>水
(m³)</t>
  </si>
  <si>
    <t>C20</t>
  </si>
  <si>
    <t>42.5</t>
  </si>
  <si>
    <t>0.6</t>
  </si>
  <si>
    <t>287</t>
  </si>
  <si>
    <t>0.561</t>
  </si>
  <si>
    <t>0.859</t>
  </si>
  <si>
    <t>0.165</t>
  </si>
  <si>
    <t>主要材料预算价格汇总表</t>
  </si>
  <si>
    <t>材料名称</t>
  </si>
  <si>
    <t>计量单位</t>
  </si>
  <si>
    <t>预算价(元)</t>
  </si>
  <si>
    <t>型钢</t>
  </si>
  <si>
    <t>kg</t>
  </si>
  <si>
    <t>4.69</t>
  </si>
  <si>
    <t>水泥</t>
  </si>
  <si>
    <t>42.5MPa</t>
  </si>
  <si>
    <t>t</t>
  </si>
  <si>
    <t>374.68</t>
  </si>
  <si>
    <t>碎石</t>
  </si>
  <si>
    <t>89.50</t>
  </si>
  <si>
    <t>柴油</t>
  </si>
  <si>
    <t>0#</t>
  </si>
  <si>
    <t>7.49</t>
  </si>
  <si>
    <t>汽油</t>
  </si>
  <si>
    <t>9.40</t>
  </si>
  <si>
    <t>锯材</t>
  </si>
  <si>
    <t>1168.14</t>
  </si>
  <si>
    <t>铁件</t>
  </si>
  <si>
    <t>5.49</t>
  </si>
  <si>
    <t>预埋铁件</t>
  </si>
  <si>
    <t>块石</t>
  </si>
  <si>
    <t>79.50</t>
  </si>
  <si>
    <t>砂</t>
  </si>
  <si>
    <t>104.15</t>
  </si>
  <si>
    <t>粗砂</t>
  </si>
  <si>
    <t>100.15</t>
  </si>
  <si>
    <t>12</t>
  </si>
  <si>
    <t>PVC塑料管</t>
  </si>
  <si>
    <t>φ75</t>
  </si>
  <si>
    <t>13.27</t>
  </si>
  <si>
    <t>施工机械台时(班)费汇总表</t>
  </si>
  <si>
    <t>第1页 共2页</t>
  </si>
  <si>
    <t>单位：元/台时(班)</t>
  </si>
  <si>
    <t>机械名称</t>
  </si>
  <si>
    <t>一类费用</t>
  </si>
  <si>
    <t>二类费用</t>
  </si>
  <si>
    <t>其他
费用</t>
  </si>
  <si>
    <t>折旧费</t>
  </si>
  <si>
    <t>维修费</t>
  </si>
  <si>
    <t>安拆费</t>
  </si>
  <si>
    <t>小计</t>
  </si>
  <si>
    <t>人工</t>
  </si>
  <si>
    <t>单斗挖掘机</t>
  </si>
  <si>
    <t>液压 斗容1m³</t>
  </si>
  <si>
    <t>推土机</t>
  </si>
  <si>
    <t>功率55kW</t>
  </si>
  <si>
    <t>功率59kW</t>
  </si>
  <si>
    <t>功率74kW</t>
  </si>
  <si>
    <t>拖拉机</t>
  </si>
  <si>
    <t>履带式 功率59kW</t>
  </si>
  <si>
    <t>羊脚碾</t>
  </si>
  <si>
    <t>重量5～7t</t>
  </si>
  <si>
    <t>刨毛机</t>
  </si>
  <si>
    <t>蛙式夯实机</t>
  </si>
  <si>
    <t>功率2.8kW</t>
  </si>
  <si>
    <t>混凝土搅拌机</t>
  </si>
  <si>
    <t>出料0.4m³</t>
  </si>
  <si>
    <t>混凝土输送泵</t>
  </si>
  <si>
    <t>输出量30m³/h</t>
  </si>
  <si>
    <t>振动器</t>
  </si>
  <si>
    <t>插入式 功率1.1kW</t>
  </si>
  <si>
    <t>风(砂)水枪</t>
  </si>
  <si>
    <t>耗风量6m³/min</t>
  </si>
  <si>
    <t>13</t>
  </si>
  <si>
    <t>载重汽车</t>
  </si>
  <si>
    <t>载重量5t</t>
  </si>
  <si>
    <t>14</t>
  </si>
  <si>
    <t>自卸汽车</t>
  </si>
  <si>
    <t>15</t>
  </si>
  <si>
    <t>双胶轮车</t>
  </si>
  <si>
    <t>16</t>
  </si>
  <si>
    <t>汽车起重机</t>
  </si>
  <si>
    <t>起重量5t</t>
  </si>
  <si>
    <t>17</t>
  </si>
  <si>
    <t>电焊机</t>
  </si>
  <si>
    <t>交流25kVA</t>
  </si>
  <si>
    <t>18</t>
  </si>
  <si>
    <t>钢筋切断机</t>
  </si>
  <si>
    <t>功率20kW</t>
  </si>
  <si>
    <t>第2页 共2页</t>
  </si>
  <si>
    <t>19</t>
  </si>
  <si>
    <t>圆盘锯</t>
  </si>
  <si>
    <t>20</t>
  </si>
  <si>
    <t>液压 斗容0.25m³</t>
  </si>
  <si>
    <t>工程单价计算表</t>
  </si>
  <si>
    <t>机械清理表土，厚度0.2m 工程</t>
  </si>
  <si>
    <t>单价编号：</t>
  </si>
  <si>
    <t>定额单位：1000m²</t>
  </si>
  <si>
    <t>施工方法：</t>
  </si>
  <si>
    <t>定额编号:YB0102。
推土、堆放、空回。</t>
  </si>
  <si>
    <t>数量</t>
  </si>
  <si>
    <t>单价(元)</t>
  </si>
  <si>
    <t>合价(元)</t>
  </si>
  <si>
    <t>直接费</t>
  </si>
  <si>
    <t>元</t>
  </si>
  <si>
    <t>工时</t>
  </si>
  <si>
    <t>零星材料费</t>
  </si>
  <si>
    <t>%</t>
  </si>
  <si>
    <t>1.3</t>
  </si>
  <si>
    <t>机械使用费</t>
  </si>
  <si>
    <t>台时</t>
  </si>
  <si>
    <t>1.4</t>
  </si>
  <si>
    <t>其他直接费</t>
  </si>
  <si>
    <t>1.5</t>
  </si>
  <si>
    <t>现场经费</t>
  </si>
  <si>
    <t>施工管理费</t>
  </si>
  <si>
    <t>企业利润</t>
  </si>
  <si>
    <t>机械工</t>
  </si>
  <si>
    <t>单价</t>
  </si>
  <si>
    <t>挖掘机挖沟槽，砂卵石（用于回填墙背） 工程</t>
  </si>
  <si>
    <t>定额单位：100m³</t>
  </si>
  <si>
    <t>定额编号:YB0107。
挖土、将土堆放在一边、清理机下余土，人工配合修底。</t>
  </si>
  <si>
    <t>表土回覆 工程</t>
  </si>
  <si>
    <t>定额编号:01186。
推松、运输、卸除、拖平、空回。</t>
  </si>
  <si>
    <t>围堰拆除，运距5km 工程</t>
  </si>
  <si>
    <t>定额编号:01230。
挖装、运输、卸除、空回。</t>
  </si>
  <si>
    <t>回填土石方，机械夯填土石 工程</t>
  </si>
  <si>
    <t>定额编号:03003。
包括5m内取土（石渣）回填、平土、简单压实。</t>
  </si>
  <si>
    <t>抛填块石护脚 工程</t>
  </si>
  <si>
    <t>定额编号:03046。
人工装、运、卸、抛投、平整，运距100m以内。</t>
  </si>
  <si>
    <t>其他材料费</t>
  </si>
  <si>
    <t>C20埋石砼挡墙（埋石率20%） 工程</t>
  </si>
  <si>
    <t>定额编号:04077+04264*0.824+04278*0.824。
施工准备、仓面冲（凿）毛、冲洗、清仓、验收、浇筑、养护等。
场内配运水泥、骨料、投料、加水、加外加剂、搅拌、出料、清洗。
装、运、卸、清洗。
装、运、卸、回空。</t>
  </si>
  <si>
    <t>埋石人工</t>
  </si>
  <si>
    <t>C20纯混凝土</t>
  </si>
  <si>
    <t>42.5MPa 2级配 水灰比0.6 最大粒径40mm</t>
  </si>
  <si>
    <t>其他机械费</t>
  </si>
  <si>
    <t>常态混凝土伸缩缝，沥青木板 工程</t>
  </si>
  <si>
    <t>定额单位：100m²</t>
  </si>
  <si>
    <t>定额编号:04457。
木板制作、熔化、涂沥青、安装。</t>
  </si>
  <si>
    <t>木柴</t>
  </si>
  <si>
    <t>沥青</t>
  </si>
  <si>
    <t>普通标准钢模板制作、安装、拆除 工程</t>
  </si>
  <si>
    <t>定额编号:05001+05002。
预埋铁件制作，模板运输，模板安装、拆除、除灰、刷脱模剂，维修、倒仓，拉筋割断。</t>
  </si>
  <si>
    <t>组合钢模板</t>
  </si>
  <si>
    <t>焊条</t>
  </si>
  <si>
    <t>卡扣件</t>
  </si>
  <si>
    <t>混凝土柱</t>
  </si>
  <si>
    <t>土围堰（利用开挖料） 工程</t>
  </si>
  <si>
    <t>定额编号:03026。
包括装运土、平土、洒水、刨毛、夯实。</t>
  </si>
  <si>
    <t>彩条布斜铺，1:1.5边坡 工程</t>
  </si>
  <si>
    <t>21</t>
  </si>
  <si>
    <t>定额编号:11041。
场内运输，铺设、搭接。</t>
  </si>
  <si>
    <t>塑料薄膜</t>
  </si>
  <si>
    <t>PVC塑料管承插连接，公称直径75mm 工程</t>
  </si>
  <si>
    <t>22</t>
  </si>
  <si>
    <t>定额单位：100m</t>
  </si>
  <si>
    <t>定额编号:10341。
管材清理及外观检查，切口、调直、对口、熔化接口材料，管道及管件粘接、管道试压。</t>
  </si>
  <si>
    <t>装置性材料费</t>
  </si>
  <si>
    <t>挖掘机沟槽，I~II类土（用于回填墙背） 工程</t>
  </si>
  <si>
    <t>38</t>
  </si>
  <si>
    <t>定额编号:01215。
挖松、堆放。</t>
  </si>
  <si>
    <t>挖掘机沟槽，I~II类土，弃运5km 工程</t>
  </si>
  <si>
    <t>39</t>
  </si>
  <si>
    <t>定额编号:01215+01230。
挖松、堆放。
挖装、运输、卸除、空回。</t>
  </si>
  <si>
    <t>1m³挖掘机挖装、自卸汽车运输，运距5km(清淤开挖） 工程</t>
  </si>
  <si>
    <t>40</t>
  </si>
  <si>
    <t>级配砂石反滤包 工程</t>
  </si>
  <si>
    <t>41</t>
  </si>
  <si>
    <t>定额编号:03063。
运料、分层铺筑、压实、整平与修坡，基本运距30m。</t>
  </si>
  <si>
    <t>反滤包土工布 工程</t>
  </si>
  <si>
    <t>42</t>
  </si>
  <si>
    <t>定额编号:11053。
场内运输，铺设、接缝（针缝）。</t>
  </si>
  <si>
    <t>土工布</t>
  </si>
  <si>
    <t>人工费单价汇总表</t>
  </si>
  <si>
    <t>工种</t>
  </si>
  <si>
    <t>单位</t>
  </si>
  <si>
    <t>7.46</t>
  </si>
  <si>
    <t>主要材料总消耗量统计表</t>
  </si>
  <si>
    <t xml:space="preserve"> 工程名称：那坡县城厢镇超群村杏香屯防护堤修复项目</t>
  </si>
  <si>
    <t>总消耗量</t>
  </si>
  <si>
    <t>合计(元)</t>
  </si>
  <si>
    <t>9572.025</t>
  </si>
  <si>
    <t>0.73</t>
  </si>
  <si>
    <t>6987.58</t>
  </si>
  <si>
    <t>3436.775</t>
  </si>
  <si>
    <t>3.84</t>
  </si>
  <si>
    <t>13197.22</t>
  </si>
  <si>
    <t>52132.248</t>
  </si>
  <si>
    <t>0.15</t>
  </si>
  <si>
    <t>7819.84</t>
  </si>
  <si>
    <t>1058.781</t>
  </si>
  <si>
    <t>4965.68</t>
  </si>
  <si>
    <t>水泥 42.5MPa</t>
  </si>
  <si>
    <t>543.781</t>
  </si>
  <si>
    <t>203743.87</t>
  </si>
  <si>
    <t>1631.891</t>
  </si>
  <si>
    <t>146054.24</t>
  </si>
  <si>
    <t>柴油 0#</t>
  </si>
  <si>
    <t>10487.375</t>
  </si>
  <si>
    <t>78550.44</t>
  </si>
  <si>
    <t>1278.619</t>
  </si>
  <si>
    <t>12019.02</t>
  </si>
  <si>
    <t>4.741</t>
  </si>
  <si>
    <t>5538.15</t>
  </si>
  <si>
    <t>36.96</t>
  </si>
  <si>
    <t>202.91</t>
  </si>
  <si>
    <t>2998.195</t>
  </si>
  <si>
    <t>16460.09</t>
  </si>
  <si>
    <t>1066.289</t>
  </si>
  <si>
    <t>84769.98</t>
  </si>
  <si>
    <t>1.416</t>
  </si>
  <si>
    <t>147.48</t>
  </si>
  <si>
    <t>1062.56</t>
  </si>
  <si>
    <t>106415.38</t>
  </si>
  <si>
    <t>PVC塑料管 φ75</t>
  </si>
  <si>
    <t>281.622</t>
  </si>
  <si>
    <t>3737.12</t>
  </si>
  <si>
    <t>C20纯混凝土 42.5MPa 2级配 水灰比0.6 最大粒径40mm</t>
  </si>
  <si>
    <t>1894.046</t>
  </si>
  <si>
    <t>241.22</t>
  </si>
  <si>
    <t>456881.78</t>
  </si>
  <si>
    <t>合计：</t>
  </si>
  <si>
    <t>1147490.78</t>
  </si>
  <si>
    <t>次要材料总消耗量统计表</t>
  </si>
  <si>
    <t>1960.605</t>
  </si>
  <si>
    <t>9195.24</t>
  </si>
  <si>
    <t>6.899</t>
  </si>
  <si>
    <t>600.00</t>
  </si>
  <si>
    <t>4139.40</t>
  </si>
  <si>
    <t>0.905</t>
  </si>
  <si>
    <t>350.00</t>
  </si>
  <si>
    <t>316.75</t>
  </si>
  <si>
    <t>2.672</t>
  </si>
  <si>
    <t>3980.00</t>
  </si>
  <si>
    <t>10634.56</t>
  </si>
  <si>
    <t>61.107</t>
  </si>
  <si>
    <t>6.46</t>
  </si>
  <si>
    <t>394.75</t>
  </si>
  <si>
    <t>624.131</t>
  </si>
  <si>
    <t>6.02</t>
  </si>
  <si>
    <t>3757.27</t>
  </si>
  <si>
    <t>135.205</t>
  </si>
  <si>
    <t>4.42</t>
  </si>
  <si>
    <t>597.61</t>
  </si>
  <si>
    <t>404.54</t>
  </si>
  <si>
    <t>2.00</t>
  </si>
  <si>
    <t>809.08</t>
  </si>
  <si>
    <t>29844.66</t>
  </si>
  <si>
    <t>施工机械总消耗量统计表</t>
  </si>
  <si>
    <t>单斗挖掘机 液压 斗容1m³</t>
  </si>
  <si>
    <t>95.709</t>
  </si>
  <si>
    <t>189.95</t>
  </si>
  <si>
    <t>18179.92</t>
  </si>
  <si>
    <t>推土机 功率55kW</t>
  </si>
  <si>
    <t>15.293</t>
  </si>
  <si>
    <t>95.30</t>
  </si>
  <si>
    <t>1457.42</t>
  </si>
  <si>
    <t>推土机 功率59kW</t>
  </si>
  <si>
    <t>22.238</t>
  </si>
  <si>
    <t>102.81</t>
  </si>
  <si>
    <t>2286.29</t>
  </si>
  <si>
    <t>推土机 功率74kW</t>
  </si>
  <si>
    <t>2.963</t>
  </si>
  <si>
    <t>135.89</t>
  </si>
  <si>
    <t>402.64</t>
  </si>
  <si>
    <t>拖拉机 履带式 功率59kW</t>
  </si>
  <si>
    <t>9.836</t>
  </si>
  <si>
    <t>88.76</t>
  </si>
  <si>
    <t>873.04</t>
  </si>
  <si>
    <t>羊脚碾 重量5～7t</t>
  </si>
  <si>
    <t>2.09</t>
  </si>
  <si>
    <t>20.56</t>
  </si>
  <si>
    <t>83.20</t>
  </si>
  <si>
    <t>246.52</t>
  </si>
  <si>
    <t>蛙式夯实机 功率2.8kW</t>
  </si>
  <si>
    <t>341.043</t>
  </si>
  <si>
    <t>17.83</t>
  </si>
  <si>
    <t>6080.80</t>
  </si>
  <si>
    <t>混凝土搅拌机 出料0.4m³</t>
  </si>
  <si>
    <t>340.928</t>
  </si>
  <si>
    <t>24.86</t>
  </si>
  <si>
    <t>8475.47</t>
  </si>
  <si>
    <t>混凝土输送泵 输出量30m³/h</t>
  </si>
  <si>
    <t>156.994</t>
  </si>
  <si>
    <t>85.39</t>
  </si>
  <si>
    <t>13405.72</t>
  </si>
  <si>
    <t>振动器 插入式 功率1.1kW</t>
  </si>
  <si>
    <t>744.746</t>
  </si>
  <si>
    <t>1.98</t>
  </si>
  <si>
    <t>1474.60</t>
  </si>
  <si>
    <t>风(砂)水枪 耗风量6m³/min</t>
  </si>
  <si>
    <t>257.443</t>
  </si>
  <si>
    <t>46.72</t>
  </si>
  <si>
    <t>12027.74</t>
  </si>
  <si>
    <t>载重汽车 载重量5t</t>
  </si>
  <si>
    <t>8.87</t>
  </si>
  <si>
    <t>94.22</t>
  </si>
  <si>
    <t>835.73</t>
  </si>
  <si>
    <t>自卸汽车 载重量5t</t>
  </si>
  <si>
    <t>926.894</t>
  </si>
  <si>
    <t>92.29</t>
  </si>
  <si>
    <t>85543.05</t>
  </si>
  <si>
    <t>3548.034</t>
  </si>
  <si>
    <t>0.82</t>
  </si>
  <si>
    <t>2909.39</t>
  </si>
  <si>
    <t>汽车起重机 起重量5t</t>
  </si>
  <si>
    <t>209.44</t>
  </si>
  <si>
    <t>97.48</t>
  </si>
  <si>
    <t>20416.21</t>
  </si>
  <si>
    <t>电焊机 交流25kVA</t>
  </si>
  <si>
    <t>66.528</t>
  </si>
  <si>
    <t>11.25</t>
  </si>
  <si>
    <t>748.44</t>
  </si>
  <si>
    <t>钢筋切断机 功率20kW</t>
  </si>
  <si>
    <t>1.478</t>
  </si>
  <si>
    <t>25.15</t>
  </si>
  <si>
    <t>37.17</t>
  </si>
  <si>
    <t>1.381</t>
  </si>
  <si>
    <t>24.55</t>
  </si>
  <si>
    <t>33.90</t>
  </si>
  <si>
    <t>单斗挖掘机 液压 斗容0.25m³</t>
  </si>
  <si>
    <t>42.711</t>
  </si>
  <si>
    <t>91.27</t>
  </si>
  <si>
    <t>3898.23</t>
  </si>
  <si>
    <t>179352.84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</si>
</sst>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45">
    <font>
      <sz val="11"/>
      <color theme="1"/>
      <name val="宋体"/>
      <charset val="134"/>
      <scheme val="minor"/>
    </font>
    <font>
      <sz val="10.5"/>
      <color indexed="8"/>
      <name val="宋体"/>
      <charset val="252"/>
    </font>
    <font>
      <b/>
      <sz val="14"/>
      <name val="黑体"/>
      <charset val="252"/>
    </font>
    <font>
      <sz val="10.5"/>
      <name val="宋体"/>
      <charset val="252"/>
    </font>
    <font>
      <b/>
      <sz val="10.5"/>
      <name val="宋体"/>
      <charset val="252"/>
    </font>
    <font>
      <u/>
      <sz val="10.5"/>
      <name val="宋体"/>
      <charset val="252"/>
    </font>
    <font>
      <sz val="9"/>
      <name val="宋体"/>
      <charset val="252"/>
    </font>
    <font>
      <b/>
      <sz val="14"/>
      <color indexed="8"/>
      <name val="黑体"/>
      <charset val="252"/>
    </font>
    <font>
      <u/>
      <sz val="10.5"/>
      <color indexed="8"/>
      <name val="宋体"/>
      <charset val="252"/>
    </font>
    <font>
      <b/>
      <sz val="18"/>
      <name val="宋体"/>
      <charset val="134"/>
    </font>
    <font>
      <b/>
      <sz val="10"/>
      <name val="宋体"/>
      <charset val="134"/>
    </font>
    <font>
      <sz val="9"/>
      <name val="宋体"/>
      <charset val="134"/>
    </font>
    <font>
      <sz val="10"/>
      <name val="宋体"/>
      <charset val="134"/>
    </font>
    <font>
      <sz val="12"/>
      <color indexed="8"/>
      <name val="Arial"/>
      <charset val="0"/>
    </font>
    <font>
      <b/>
      <sz val="16"/>
      <color indexed="8"/>
      <name val="宋体"/>
      <charset val="134"/>
    </font>
    <font>
      <b/>
      <sz val="20"/>
      <color indexed="8"/>
      <name val="宋体"/>
      <charset val="134"/>
    </font>
    <font>
      <b/>
      <sz val="14"/>
      <color indexed="8"/>
      <name val="宋体"/>
      <charset val="134"/>
    </font>
    <font>
      <sz val="14"/>
      <color indexed="8"/>
      <name val="宋体"/>
      <charset val="134"/>
    </font>
    <font>
      <sz val="10"/>
      <color indexed="8"/>
      <name val="Arial"/>
      <charset val="134"/>
    </font>
    <font>
      <sz val="12"/>
      <color rgb="FF000000"/>
      <name val="Arial"/>
      <charset val="0"/>
    </font>
    <font>
      <b/>
      <sz val="16"/>
      <color rgb="FF000000"/>
      <name val="宋体"/>
      <charset val="134"/>
    </font>
    <font>
      <b/>
      <sz val="20"/>
      <color rgb="FF000000"/>
      <name val="宋体"/>
      <charset val="134"/>
    </font>
    <font>
      <sz val="14"/>
      <color rgb="FF000000"/>
      <name val="宋体"/>
      <charset val="134"/>
    </font>
    <font>
      <b/>
      <sz val="14"/>
      <color rgb="FF000000"/>
      <name val="宋体"/>
      <charset val="134"/>
    </font>
    <font>
      <sz val="10"/>
      <color rgb="FF000000"/>
      <name val="Arial"/>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8" borderId="9"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0" applyNumberFormat="0" applyFill="0" applyAlignment="0" applyProtection="0">
      <alignment vertical="center"/>
    </xf>
    <xf numFmtId="0" fontId="37" fillId="0" borderId="10" applyNumberFormat="0" applyFill="0" applyAlignment="0" applyProtection="0">
      <alignment vertical="center"/>
    </xf>
    <xf numFmtId="0" fontId="29" fillId="10" borderId="0" applyNumberFormat="0" applyBorder="0" applyAlignment="0" applyProtection="0">
      <alignment vertical="center"/>
    </xf>
    <xf numFmtId="0" fontId="32" fillId="0" borderId="11" applyNumberFormat="0" applyFill="0" applyAlignment="0" applyProtection="0">
      <alignment vertical="center"/>
    </xf>
    <xf numFmtId="0" fontId="29" fillId="11" borderId="0" applyNumberFormat="0" applyBorder="0" applyAlignment="0" applyProtection="0">
      <alignment vertical="center"/>
    </xf>
    <xf numFmtId="0" fontId="38" fillId="12" borderId="12" applyNumberFormat="0" applyAlignment="0" applyProtection="0">
      <alignment vertical="center"/>
    </xf>
    <xf numFmtId="0" fontId="39" fillId="12" borderId="8" applyNumberFormat="0" applyAlignment="0" applyProtection="0">
      <alignment vertical="center"/>
    </xf>
    <xf numFmtId="0" fontId="40" fillId="13" borderId="13"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13" fillId="0" borderId="0">
      <alignment horizontal="left" vertical="top" wrapText="1"/>
    </xf>
  </cellStyleXfs>
  <cellXfs count="58">
    <xf numFmtId="0" fontId="0" fillId="0" borderId="0" xfId="0"/>
    <xf numFmtId="0" fontId="1" fillId="0" borderId="0" xfId="0" applyFont="1" applyFill="1" applyBorder="1" applyAlignment="1">
      <alignment vertical="center"/>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right"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righ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wrapText="1"/>
    </xf>
    <xf numFmtId="2" fontId="3" fillId="0" borderId="1" xfId="0" applyNumberFormat="1" applyFont="1" applyFill="1" applyBorder="1" applyAlignment="1" applyProtection="1">
      <alignment horizontal="right" vertical="center" wrapText="1" shrinkToFit="1"/>
    </xf>
    <xf numFmtId="0" fontId="3"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right" vertical="center" wrapText="1"/>
    </xf>
    <xf numFmtId="2" fontId="6" fillId="0" borderId="1" xfId="0" applyNumberFormat="1" applyFont="1" applyFill="1" applyBorder="1" applyAlignment="1" applyProtection="1">
      <alignment horizontal="right" vertical="center" wrapText="1" shrinkToFit="1"/>
    </xf>
    <xf numFmtId="0" fontId="1"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protection locked="0"/>
    </xf>
    <xf numFmtId="0" fontId="1" fillId="0" borderId="4" xfId="0" applyNumberFormat="1" applyFont="1" applyFill="1" applyBorder="1" applyAlignment="1" applyProtection="1">
      <alignment horizontal="center" vertical="center" wrapText="1"/>
      <protection locked="0"/>
    </xf>
    <xf numFmtId="0" fontId="1" fillId="0" borderId="4" xfId="0" applyNumberFormat="1" applyFont="1" applyFill="1" applyBorder="1" applyAlignment="1" applyProtection="1">
      <alignment horizontal="left" vertical="center" wrapText="1"/>
      <protection locked="0"/>
    </xf>
    <xf numFmtId="2" fontId="1" fillId="0" borderId="1" xfId="0" applyNumberFormat="1" applyFont="1" applyFill="1" applyBorder="1" applyAlignment="1" applyProtection="1">
      <alignment horizontal="right" vertical="center" wrapText="1" shrinkToFit="1"/>
    </xf>
    <xf numFmtId="0" fontId="1" fillId="0" borderId="4" xfId="0" applyNumberFormat="1" applyFont="1" applyFill="1" applyBorder="1" applyAlignment="1" applyProtection="1">
      <alignment horizontal="right" vertical="center" wrapText="1"/>
      <protection locked="0"/>
    </xf>
    <xf numFmtId="0" fontId="0" fillId="0" borderId="0" xfId="0" applyFont="1" applyFill="1" applyAlignment="1"/>
    <xf numFmtId="0" fontId="9" fillId="0" borderId="0" xfId="0" applyFont="1" applyFill="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right" vertical="center" wrapText="1"/>
    </xf>
    <xf numFmtId="0" fontId="11" fillId="0" borderId="6" xfId="0" applyFont="1" applyFill="1" applyBorder="1" applyAlignment="1">
      <alignment horizontal="left" vertical="center" wrapText="1"/>
    </xf>
    <xf numFmtId="0" fontId="12" fillId="0" borderId="7" xfId="0" applyFont="1" applyFill="1" applyBorder="1" applyAlignment="1">
      <alignment horizontal="right" vertical="center" wrapText="1"/>
    </xf>
    <xf numFmtId="0" fontId="13" fillId="0" borderId="0" xfId="49">
      <alignment horizontal="left" vertical="top" wrapText="1"/>
    </xf>
    <xf numFmtId="49" fontId="14" fillId="2" borderId="5" xfId="49" applyNumberFormat="1" applyFont="1" applyFill="1" applyBorder="1" applyAlignment="1" applyProtection="1">
      <alignment horizontal="center" wrapText="1" readingOrder="1"/>
    </xf>
    <xf numFmtId="49" fontId="15" fillId="2" borderId="0" xfId="49" applyNumberFormat="1" applyFont="1" applyFill="1" applyBorder="1" applyAlignment="1" applyProtection="1">
      <alignment horizontal="center" vertical="center" wrapText="1" readingOrder="1"/>
    </xf>
    <xf numFmtId="49" fontId="16" fillId="2" borderId="0" xfId="49" applyNumberFormat="1" applyFont="1" applyFill="1" applyBorder="1" applyAlignment="1" applyProtection="1">
      <alignment horizontal="right" vertical="center" wrapText="1" readingOrder="1"/>
    </xf>
    <xf numFmtId="49" fontId="16" fillId="2" borderId="0" xfId="49" applyNumberFormat="1" applyFont="1" applyFill="1" applyBorder="1" applyAlignment="1" applyProtection="1">
      <alignment horizontal="left" vertical="top" wrapText="1" readingOrder="1"/>
    </xf>
    <xf numFmtId="49" fontId="17" fillId="2" borderId="5" xfId="49" applyNumberFormat="1" applyFont="1" applyFill="1" applyBorder="1" applyAlignment="1" applyProtection="1">
      <alignment horizontal="left" wrapText="1" readingOrder="1"/>
    </xf>
    <xf numFmtId="176" fontId="17" fillId="2" borderId="5" xfId="49" applyNumberFormat="1" applyFont="1" applyFill="1" applyBorder="1" applyAlignment="1" applyProtection="1">
      <alignment horizontal="left" wrapText="1" readingOrder="1"/>
    </xf>
    <xf numFmtId="49" fontId="17" fillId="2" borderId="0" xfId="49" applyNumberFormat="1" applyFont="1" applyFill="1" applyBorder="1" applyAlignment="1" applyProtection="1">
      <alignment horizontal="center" wrapText="1" readingOrder="1"/>
    </xf>
    <xf numFmtId="49" fontId="18" fillId="2" borderId="7" xfId="49" applyNumberFormat="1" applyFont="1" applyFill="1" applyBorder="1" applyAlignment="1" applyProtection="1">
      <alignment horizontal="center" vertical="top" wrapText="1" readingOrder="1"/>
    </xf>
    <xf numFmtId="49" fontId="17" fillId="2" borderId="5" xfId="49" applyNumberFormat="1" applyFont="1" applyFill="1" applyBorder="1" applyAlignment="1" applyProtection="1">
      <alignment horizontal="center" wrapText="1" readingOrder="1"/>
    </xf>
    <xf numFmtId="49" fontId="14" fillId="2" borderId="0" xfId="49" applyNumberFormat="1" applyFont="1" applyFill="1" applyBorder="1" applyAlignment="1" applyProtection="1">
      <alignment horizontal="left" vertical="center" wrapText="1" readingOrder="1"/>
    </xf>
    <xf numFmtId="49" fontId="17" fillId="2" borderId="0" xfId="49" applyNumberFormat="1" applyFont="1" applyFill="1" applyBorder="1" applyAlignment="1" applyProtection="1">
      <alignment horizontal="right" vertical="center" wrapText="1" readingOrder="1"/>
    </xf>
    <xf numFmtId="0" fontId="19" fillId="0" borderId="0" xfId="0" applyNumberFormat="1" applyFont="1" applyFill="1" applyBorder="1" applyAlignment="1" applyProtection="1">
      <alignment horizontal="left" vertical="top" wrapText="1"/>
    </xf>
    <xf numFmtId="49" fontId="20" fillId="2" borderId="5" xfId="0" applyNumberFormat="1" applyFont="1" applyFill="1" applyBorder="1" applyAlignment="1" applyProtection="1">
      <alignment horizontal="center" wrapText="1" readingOrder="1"/>
    </xf>
    <xf numFmtId="49" fontId="20" fillId="2" borderId="0" xfId="0" applyNumberFormat="1" applyFont="1" applyFill="1" applyBorder="1" applyAlignment="1" applyProtection="1">
      <alignment horizontal="left" vertical="center" wrapText="1" readingOrder="1"/>
    </xf>
    <xf numFmtId="49" fontId="21" fillId="2" borderId="0" xfId="0" applyNumberFormat="1" applyFont="1" applyFill="1" applyBorder="1" applyAlignment="1" applyProtection="1">
      <alignment horizontal="center" vertical="center" wrapText="1" readingOrder="1"/>
    </xf>
    <xf numFmtId="49" fontId="22" fillId="2" borderId="0" xfId="0" applyNumberFormat="1" applyFont="1" applyFill="1" applyBorder="1" applyAlignment="1" applyProtection="1">
      <alignment horizontal="left" wrapText="1" readingOrder="1"/>
    </xf>
    <xf numFmtId="49" fontId="23" fillId="2" borderId="0" xfId="0" applyNumberFormat="1" applyFont="1" applyFill="1" applyBorder="1" applyAlignment="1" applyProtection="1">
      <alignment horizontal="right" vertical="center" wrapText="1" readingOrder="1"/>
    </xf>
    <xf numFmtId="49" fontId="24" fillId="2" borderId="7" xfId="0" applyNumberFormat="1" applyFont="1" applyFill="1" applyBorder="1" applyAlignment="1" applyProtection="1">
      <alignment horizontal="center" vertical="top" wrapText="1" readingOrder="1"/>
    </xf>
    <xf numFmtId="49" fontId="23" fillId="2" borderId="0" xfId="0" applyNumberFormat="1" applyFont="1" applyFill="1" applyBorder="1" applyAlignment="1" applyProtection="1">
      <alignment horizontal="center" vertical="center" wrapText="1" readingOrder="1"/>
    </xf>
    <xf numFmtId="49" fontId="25" fillId="2" borderId="0" xfId="0" applyNumberFormat="1" applyFont="1" applyFill="1" applyBorder="1" applyAlignment="1" applyProtection="1">
      <alignment horizontal="left" vertical="top" wrapText="1" readingOrder="1"/>
    </xf>
    <xf numFmtId="49" fontId="22" fillId="2" borderId="0" xfId="0" applyNumberFormat="1" applyFont="1" applyFill="1" applyBorder="1" applyAlignment="1" applyProtection="1">
      <alignment horizontal="right" vertical="center" wrapText="1" readingOrder="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_12" xfId="49"/>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showGridLines="0" view="pageBreakPreview" zoomScale="85" zoomScaleNormal="100" workbookViewId="0">
      <selection activeCell="C18" sqref="C18:G18"/>
    </sheetView>
  </sheetViews>
  <sheetFormatPr defaultColWidth="10.125" defaultRowHeight="15"/>
  <cols>
    <col min="1" max="1" width="0.5" style="48" customWidth="1"/>
    <col min="2" max="2" width="8.99166666666667" style="48" customWidth="1"/>
    <col min="3" max="3" width="13.75" style="48" customWidth="1"/>
    <col min="4" max="4" width="0.741666666666667" style="48" customWidth="1"/>
    <col min="5" max="5" width="46.625" style="48" customWidth="1"/>
    <col min="6" max="6" width="0.741666666666667" style="48" customWidth="1"/>
    <col min="7" max="7" width="5.875" style="48" customWidth="1"/>
    <col min="8" max="8" width="1.875" style="48" customWidth="1"/>
    <col min="9" max="9" width="6.125" style="48" customWidth="1"/>
    <col min="10" max="10" width="2.375" style="48" customWidth="1"/>
    <col min="11" max="16384" width="10.125" style="48"/>
  </cols>
  <sheetData>
    <row r="1" ht="97" customHeight="1" spans="3:5">
      <c r="C1" s="49" t="s">
        <v>0</v>
      </c>
      <c r="D1" s="49" t="s">
        <v>1</v>
      </c>
      <c r="E1" s="49" t="s">
        <v>1</v>
      </c>
    </row>
    <row r="2" ht="18.1" customHeight="1" spans="3:8">
      <c r="C2" s="49" t="s">
        <v>1</v>
      </c>
      <c r="D2" s="49" t="s">
        <v>1</v>
      </c>
      <c r="E2" s="49" t="s">
        <v>1</v>
      </c>
      <c r="G2" s="50"/>
      <c r="H2" s="50"/>
    </row>
    <row r="3" ht="54.9" customHeight="1"/>
    <row r="4" ht="49.5" customHeight="1" spans="1:10">
      <c r="A4" s="51" t="s">
        <v>2</v>
      </c>
      <c r="B4" s="51" t="s">
        <v>2</v>
      </c>
      <c r="C4" s="51" t="s">
        <v>2</v>
      </c>
      <c r="D4" s="51" t="s">
        <v>2</v>
      </c>
      <c r="E4" s="51" t="s">
        <v>2</v>
      </c>
      <c r="F4" s="51" t="s">
        <v>2</v>
      </c>
      <c r="G4" s="51" t="s">
        <v>2</v>
      </c>
      <c r="H4" s="51" t="s">
        <v>2</v>
      </c>
      <c r="I4" s="51" t="s">
        <v>2</v>
      </c>
      <c r="J4" s="51" t="s">
        <v>2</v>
      </c>
    </row>
    <row r="5" ht="65.6" customHeight="1"/>
    <row r="6" ht="31.35" customHeight="1" spans="5:8">
      <c r="E6" s="52" t="s">
        <v>3</v>
      </c>
      <c r="F6" s="52"/>
      <c r="G6" s="52"/>
      <c r="H6" s="52"/>
    </row>
    <row r="7" ht="18.1" customHeight="1" spans="2:8">
      <c r="B7" s="53" t="s">
        <v>4</v>
      </c>
      <c r="C7" s="53" t="s">
        <v>4</v>
      </c>
      <c r="E7" s="52"/>
      <c r="F7" s="52"/>
      <c r="G7" s="52"/>
      <c r="H7" s="52"/>
    </row>
    <row r="8" ht="5.1" customHeight="1"/>
    <row r="9" ht="18.1" customHeight="1" spans="5:8">
      <c r="E9" s="54" t="s">
        <v>5</v>
      </c>
      <c r="F9" s="54" t="s">
        <v>5</v>
      </c>
      <c r="G9" s="54" t="s">
        <v>5</v>
      </c>
      <c r="H9" s="54" t="s">
        <v>5</v>
      </c>
    </row>
    <row r="10" ht="102.2" customHeight="1"/>
    <row r="11" ht="31.35" customHeight="1" spans="5:8">
      <c r="E11" s="52"/>
      <c r="F11" s="52"/>
      <c r="G11" s="52"/>
      <c r="H11" s="52"/>
    </row>
    <row r="12" ht="18.1" customHeight="1" spans="2:8">
      <c r="B12" s="53" t="s">
        <v>6</v>
      </c>
      <c r="C12" s="53" t="s">
        <v>6</v>
      </c>
      <c r="E12" s="52"/>
      <c r="F12" s="52"/>
      <c r="G12" s="52"/>
      <c r="H12" s="52"/>
    </row>
    <row r="13" ht="5.1" customHeight="1"/>
    <row r="14" ht="18.1" customHeight="1" spans="5:8">
      <c r="E14" s="54" t="s">
        <v>5</v>
      </c>
      <c r="F14" s="54" t="s">
        <v>5</v>
      </c>
      <c r="G14" s="54" t="s">
        <v>5</v>
      </c>
      <c r="H14" s="54" t="s">
        <v>5</v>
      </c>
    </row>
    <row r="15" ht="83.4" customHeight="1"/>
    <row r="16" ht="26.65" customHeight="1" spans="3:8">
      <c r="C16" s="55" t="s">
        <v>7</v>
      </c>
      <c r="D16" s="55" t="s">
        <v>8</v>
      </c>
      <c r="E16" s="55" t="s">
        <v>8</v>
      </c>
      <c r="F16" s="55" t="s">
        <v>8</v>
      </c>
      <c r="G16" s="55" t="s">
        <v>8</v>
      </c>
      <c r="H16" s="55" t="s">
        <v>8</v>
      </c>
    </row>
    <row r="17" ht="77.55" customHeight="1"/>
    <row r="18" ht="18.1" customHeight="1" spans="3:7">
      <c r="C18" s="56"/>
      <c r="D18" s="56"/>
      <c r="E18" s="56"/>
      <c r="F18" s="56"/>
      <c r="G18" s="56"/>
    </row>
    <row r="19" ht="5.65" customHeight="1"/>
    <row r="20" ht="18.1" customHeight="1" spans="3:9">
      <c r="C20" s="56"/>
      <c r="D20" s="56"/>
      <c r="E20" s="56"/>
      <c r="F20" s="56"/>
      <c r="G20" s="56"/>
      <c r="I20" s="57" t="s">
        <v>9</v>
      </c>
    </row>
  </sheetData>
  <mergeCells count="12">
    <mergeCell ref="G2:H2"/>
    <mergeCell ref="A4:J4"/>
    <mergeCell ref="B7:C7"/>
    <mergeCell ref="E9:H9"/>
    <mergeCell ref="B12:C12"/>
    <mergeCell ref="E14:H14"/>
    <mergeCell ref="C16:H16"/>
    <mergeCell ref="C18:G18"/>
    <mergeCell ref="C20:G20"/>
    <mergeCell ref="C1:E2"/>
    <mergeCell ref="E6:H7"/>
    <mergeCell ref="E11:H12"/>
  </mergeCells>
  <pageMargins left="0.59" right="0.39" top="0.59" bottom="0.39" header="0" footer="0"/>
  <pageSetup paperSize="9" firstPageNumber="0" orientation="portrait" useFirstPageNumber="1" errors="blank" horizontalDpi="3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P68"/>
  <sheetViews>
    <sheetView zoomScaleSheetLayoutView="60" workbookViewId="0">
      <selection activeCell="A1" sqref="A1"/>
    </sheetView>
  </sheetViews>
  <sheetFormatPr defaultColWidth="11" defaultRowHeight="18.75" customHeight="1"/>
  <cols>
    <col min="1" max="1" width="7.5" style="1" customWidth="1"/>
    <col min="2" max="2" width="10" style="1" customWidth="1"/>
    <col min="3" max="3" width="22" style="1" customWidth="1"/>
    <col min="4" max="4" width="3.75" style="1" customWidth="1"/>
    <col min="5" max="7" width="6.5" style="1" customWidth="1"/>
    <col min="8" max="10" width="5.375" style="1" customWidth="1"/>
    <col min="11" max="11" width="6.75" style="1" customWidth="1"/>
    <col min="12" max="12" width="6" style="1" customWidth="1"/>
    <col min="13" max="13" width="6.5" style="1" customWidth="1"/>
    <col min="14" max="14" width="4.875" style="1" customWidth="1"/>
    <col min="15" max="15" width="5.75" style="1" customWidth="1"/>
    <col min="16" max="16" width="6.5" style="1" customWidth="1"/>
    <col min="17" max="17" width="9.625" style="1" customWidth="1"/>
    <col min="18" max="16384" width="11" style="1"/>
  </cols>
  <sheetData>
    <row r="1" ht="7.5" customHeight="1" spans="1:16">
      <c r="A1" s="3"/>
      <c r="B1" s="3"/>
      <c r="C1" s="3"/>
      <c r="D1" s="3"/>
      <c r="E1" s="3"/>
      <c r="F1" s="3"/>
      <c r="G1" s="3"/>
      <c r="H1" s="3"/>
      <c r="I1" s="3"/>
      <c r="J1" s="3"/>
      <c r="K1" s="3"/>
      <c r="L1" s="3"/>
      <c r="M1" s="3"/>
      <c r="N1" s="3"/>
      <c r="O1" s="3"/>
      <c r="P1" s="3"/>
    </row>
    <row r="2" ht="26.25" customHeight="1" spans="1:16">
      <c r="A2" s="2" t="s">
        <v>197</v>
      </c>
      <c r="B2" s="2"/>
      <c r="C2" s="2"/>
      <c r="D2" s="2"/>
      <c r="E2" s="2"/>
      <c r="F2" s="2"/>
      <c r="G2" s="2"/>
      <c r="H2" s="2"/>
      <c r="I2" s="2"/>
      <c r="J2" s="2"/>
      <c r="K2" s="2"/>
      <c r="L2" s="2"/>
      <c r="M2" s="2"/>
      <c r="N2" s="2"/>
      <c r="O2" s="2"/>
      <c r="P2" s="2"/>
    </row>
    <row r="3" customHeight="1" spans="1:16">
      <c r="A3" s="12" t="s">
        <v>46</v>
      </c>
      <c r="B3" s="12"/>
      <c r="C3" s="3"/>
      <c r="D3" s="3"/>
      <c r="E3" s="3"/>
      <c r="F3" s="3"/>
      <c r="G3" s="3"/>
      <c r="H3" s="3"/>
      <c r="I3" s="3"/>
      <c r="J3" s="3"/>
      <c r="K3" s="3"/>
      <c r="L3" s="3"/>
      <c r="M3" s="3"/>
      <c r="N3" s="3"/>
      <c r="O3" s="3"/>
      <c r="P3" s="3"/>
    </row>
    <row r="4" customHeight="1" spans="1:16">
      <c r="A4" s="12" t="s">
        <v>47</v>
      </c>
      <c r="B4" s="12"/>
      <c r="C4" s="10" t="s">
        <v>0</v>
      </c>
      <c r="D4" s="10"/>
      <c r="E4" s="10"/>
      <c r="F4" s="10"/>
      <c r="G4" s="10"/>
      <c r="H4" s="10"/>
      <c r="I4" s="10"/>
      <c r="J4" s="10"/>
      <c r="K4" s="10"/>
      <c r="L4" s="10"/>
      <c r="M4" s="10"/>
      <c r="N4" s="16" t="s">
        <v>198</v>
      </c>
      <c r="O4" s="16"/>
      <c r="P4" s="16"/>
    </row>
    <row r="5" ht="37.5" customHeight="1" spans="1:16">
      <c r="A5" s="17" t="s">
        <v>48</v>
      </c>
      <c r="B5" s="17" t="s">
        <v>64</v>
      </c>
      <c r="C5" s="17" t="s">
        <v>65</v>
      </c>
      <c r="D5" s="17" t="s">
        <v>66</v>
      </c>
      <c r="E5" s="17" t="s">
        <v>199</v>
      </c>
      <c r="F5" s="17" t="s">
        <v>200</v>
      </c>
      <c r="G5" s="17" t="s">
        <v>201</v>
      </c>
      <c r="H5" s="17" t="s">
        <v>202</v>
      </c>
      <c r="I5" s="17" t="s">
        <v>203</v>
      </c>
      <c r="J5" s="17" t="s">
        <v>204</v>
      </c>
      <c r="K5" s="17" t="s">
        <v>205</v>
      </c>
      <c r="L5" s="17" t="s">
        <v>206</v>
      </c>
      <c r="M5" s="17" t="s">
        <v>207</v>
      </c>
      <c r="N5" s="17" t="s">
        <v>208</v>
      </c>
      <c r="O5" s="17" t="s">
        <v>209</v>
      </c>
      <c r="P5" s="17" t="s">
        <v>61</v>
      </c>
    </row>
    <row r="6" customHeight="1" spans="1:16">
      <c r="A6" s="18" t="s">
        <v>51</v>
      </c>
      <c r="B6" s="17"/>
      <c r="C6" s="18" t="s">
        <v>52</v>
      </c>
      <c r="D6" s="17"/>
      <c r="E6" s="19"/>
      <c r="F6" s="19"/>
      <c r="G6" s="19"/>
      <c r="H6" s="19"/>
      <c r="I6" s="19"/>
      <c r="J6" s="19"/>
      <c r="K6" s="19"/>
      <c r="L6" s="19"/>
      <c r="M6" s="19"/>
      <c r="N6" s="19"/>
      <c r="O6" s="19"/>
      <c r="P6" s="19"/>
    </row>
    <row r="7" customHeight="1" spans="1:16">
      <c r="A7" s="18" t="s">
        <v>72</v>
      </c>
      <c r="B7" s="17"/>
      <c r="C7" s="18" t="s">
        <v>73</v>
      </c>
      <c r="D7" s="17"/>
      <c r="E7" s="19"/>
      <c r="F7" s="19"/>
      <c r="G7" s="19"/>
      <c r="H7" s="19"/>
      <c r="I7" s="19"/>
      <c r="J7" s="19"/>
      <c r="K7" s="19"/>
      <c r="L7" s="19"/>
      <c r="M7" s="19"/>
      <c r="N7" s="19"/>
      <c r="O7" s="19"/>
      <c r="P7" s="19"/>
    </row>
    <row r="8" customHeight="1" spans="1:16">
      <c r="A8" s="18" t="s">
        <v>74</v>
      </c>
      <c r="B8" s="17" t="s">
        <v>75</v>
      </c>
      <c r="C8" s="18" t="s">
        <v>76</v>
      </c>
      <c r="D8" s="17" t="s">
        <v>77</v>
      </c>
      <c r="E8" s="20">
        <f>ROUND(工程单价计算表!K8/1000,2)</f>
        <v>0.03</v>
      </c>
      <c r="F8" s="20">
        <f>ROUND(工程单价计算表!K10/1000,2)</f>
        <v>0.03</v>
      </c>
      <c r="G8" s="20">
        <f>ROUND(工程单价计算表!K12/1000,2)</f>
        <v>0.27</v>
      </c>
      <c r="H8" s="20">
        <f>ROUND(工程单价计算表!K14/1000,2)</f>
        <v>0.01</v>
      </c>
      <c r="I8" s="20">
        <f>ROUND(工程单价计算表!K15/1000,2)</f>
        <v>0.01</v>
      </c>
      <c r="J8" s="20">
        <f>ROUND(工程单价计算表!K16/1000,2)</f>
        <v>0.01</v>
      </c>
      <c r="K8" s="20">
        <f>ROUND(工程单价计算表!K17/1000,2)</f>
        <v>0.02</v>
      </c>
      <c r="L8" s="20">
        <f>ROUND(工程单价计算表!K18/1000,2)</f>
        <v>0.03</v>
      </c>
      <c r="M8" s="20">
        <f>ROUND(工程单价计算表!K19/1000,2)</f>
        <v>0.28</v>
      </c>
      <c r="N8" s="20">
        <f>ROUND(工程单价计算表!K23/1000,2)</f>
        <v>0</v>
      </c>
      <c r="O8" s="20">
        <f>ROUND(工程单价计算表!K24/1000,2)</f>
        <v>0.06</v>
      </c>
      <c r="P8" s="20">
        <f>工程单价计算表!K26</f>
        <v>0.77</v>
      </c>
    </row>
    <row r="9" ht="24.75" customHeight="1" spans="1:16">
      <c r="A9" s="18" t="s">
        <v>79</v>
      </c>
      <c r="B9" s="17" t="s">
        <v>80</v>
      </c>
      <c r="C9" s="18" t="s">
        <v>81</v>
      </c>
      <c r="D9" s="17" t="s">
        <v>82</v>
      </c>
      <c r="E9" s="20">
        <f>ROUND(工程单价计算表!K521/100,2)</f>
        <v>2.04</v>
      </c>
      <c r="F9" s="20">
        <f>ROUND(工程单价计算表!K523/100,2)</f>
        <v>0.47</v>
      </c>
      <c r="G9" s="20">
        <f>ROUND(工程单价计算表!K525/100,2)</f>
        <v>1.07</v>
      </c>
      <c r="H9" s="20">
        <f>ROUND(工程单价计算表!K528/100,2)</f>
        <v>0.16</v>
      </c>
      <c r="I9" s="20">
        <f>ROUND(工程单价计算表!K529/100,2)</f>
        <v>0.14</v>
      </c>
      <c r="J9" s="20">
        <f>ROUND(工程单价计算表!K530/100,2)</f>
        <v>0.14</v>
      </c>
      <c r="K9" s="20">
        <f>ROUND(工程单价计算表!K531/100,2)</f>
        <v>0.7</v>
      </c>
      <c r="L9" s="20">
        <f>ROUND(工程单价计算表!K532/100,2)</f>
        <v>0.33</v>
      </c>
      <c r="M9" s="20">
        <f>ROUND(工程单价计算表!K533/100,2)</f>
        <v>3.03</v>
      </c>
      <c r="N9" s="20">
        <f>ROUND(工程单价计算表!K537/100,2)</f>
        <v>0</v>
      </c>
      <c r="O9" s="20">
        <f>ROUND(工程单价计算表!K538/100,2)</f>
        <v>0.73</v>
      </c>
      <c r="P9" s="20">
        <f>工程单价计算表!K540</f>
        <v>8.8</v>
      </c>
    </row>
    <row r="10" ht="24.75" customHeight="1" spans="1:16">
      <c r="A10" s="18" t="s">
        <v>84</v>
      </c>
      <c r="B10" s="17" t="s">
        <v>85</v>
      </c>
      <c r="C10" s="18" t="s">
        <v>81</v>
      </c>
      <c r="D10" s="17" t="s">
        <v>82</v>
      </c>
      <c r="E10" s="20">
        <f>ROUND(工程单价计算表!K521/100,2)</f>
        <v>2.04</v>
      </c>
      <c r="F10" s="20">
        <f>ROUND(工程单价计算表!K523/100,2)</f>
        <v>0.47</v>
      </c>
      <c r="G10" s="20">
        <f>ROUND(工程单价计算表!K525/100,2)</f>
        <v>1.07</v>
      </c>
      <c r="H10" s="20">
        <f>ROUND(工程单价计算表!K528/100,2)</f>
        <v>0.16</v>
      </c>
      <c r="I10" s="20">
        <f>ROUND(工程单价计算表!K529/100,2)</f>
        <v>0.14</v>
      </c>
      <c r="J10" s="20">
        <f>ROUND(工程单价计算表!K530/100,2)</f>
        <v>0.14</v>
      </c>
      <c r="K10" s="20">
        <f>ROUND(工程单价计算表!K531/100,2)</f>
        <v>0.7</v>
      </c>
      <c r="L10" s="20">
        <f>ROUND(工程单价计算表!K532/100,2)</f>
        <v>0.33</v>
      </c>
      <c r="M10" s="20">
        <f>ROUND(工程单价计算表!K533/100,2)</f>
        <v>3.03</v>
      </c>
      <c r="N10" s="20">
        <f>ROUND(工程单价计算表!K537/100,2)</f>
        <v>0</v>
      </c>
      <c r="O10" s="20">
        <f>ROUND(工程单价计算表!K538/100,2)</f>
        <v>0.73</v>
      </c>
      <c r="P10" s="20">
        <f>工程单价计算表!K540</f>
        <v>8.8</v>
      </c>
    </row>
    <row r="11" ht="24.75" customHeight="1" spans="1:16">
      <c r="A11" s="18" t="s">
        <v>87</v>
      </c>
      <c r="B11" s="17" t="s">
        <v>88</v>
      </c>
      <c r="C11" s="18" t="s">
        <v>89</v>
      </c>
      <c r="D11" s="17" t="s">
        <v>82</v>
      </c>
      <c r="E11" s="20">
        <f>ROUND(工程单价计算表!K558/100,2)</f>
        <v>2.25</v>
      </c>
      <c r="F11" s="20">
        <f>ROUND(工程单价计算表!K561/100,2)</f>
        <v>0.92</v>
      </c>
      <c r="G11" s="20">
        <f>ROUND(工程单价计算表!K564/100,2)</f>
        <v>12.1</v>
      </c>
      <c r="H11" s="20">
        <f>ROUND(工程单价计算表!K570/100,2)</f>
        <v>0.69</v>
      </c>
      <c r="I11" s="20">
        <f>ROUND(工程单价计算表!K571/100,2)</f>
        <v>0.61</v>
      </c>
      <c r="J11" s="20">
        <f>ROUND(工程单价计算表!K572/100,2)</f>
        <v>0.61</v>
      </c>
      <c r="K11" s="20">
        <f>ROUND(工程单价计算表!K573/100,2)</f>
        <v>1.12</v>
      </c>
      <c r="L11" s="20">
        <f>ROUND(工程单价计算表!K574/100,2)</f>
        <v>1.28</v>
      </c>
      <c r="M11" s="20">
        <f>ROUND(工程单价计算表!K575/100,2)</f>
        <v>13.88</v>
      </c>
      <c r="N11" s="20">
        <f>ROUND(工程单价计算表!K579/100,2)</f>
        <v>0</v>
      </c>
      <c r="O11" s="20">
        <f>ROUND(工程单价计算表!K580/100,2)</f>
        <v>3.01</v>
      </c>
      <c r="P11" s="20">
        <f>工程单价计算表!K582</f>
        <v>36.46</v>
      </c>
    </row>
    <row r="12" ht="24.75" customHeight="1" spans="1:16">
      <c r="A12" s="18" t="s">
        <v>91</v>
      </c>
      <c r="B12" s="17" t="s">
        <v>92</v>
      </c>
      <c r="C12" s="18" t="s">
        <v>93</v>
      </c>
      <c r="D12" s="17" t="s">
        <v>82</v>
      </c>
      <c r="E12" s="20">
        <f>ROUND(工程单价计算表!K45/100,2)</f>
        <v>1.81</v>
      </c>
      <c r="F12" s="20">
        <f>ROUND(工程单价计算表!K47/100,2)</f>
        <v>0.22</v>
      </c>
      <c r="G12" s="20">
        <f>ROUND(工程单价计算表!K49/100,2)</f>
        <v>2.56</v>
      </c>
      <c r="H12" s="20">
        <f>ROUND(工程单价计算表!K51/100,2)</f>
        <v>0.21</v>
      </c>
      <c r="I12" s="20">
        <f>ROUND(工程单价计算表!K52/100,2)</f>
        <v>0.18</v>
      </c>
      <c r="J12" s="20">
        <f>ROUND(工程单价计算表!K53/100,2)</f>
        <v>0.18</v>
      </c>
      <c r="K12" s="20">
        <f>ROUND(工程单价计算表!K54/100,2)</f>
        <v>0.72</v>
      </c>
      <c r="L12" s="20">
        <f>ROUND(工程单价计算表!K55/100,2)</f>
        <v>0.41</v>
      </c>
      <c r="M12" s="20">
        <f>ROUND(工程单价计算表!K56/100,2)</f>
        <v>3.38</v>
      </c>
      <c r="N12" s="20">
        <f>ROUND(工程单价计算表!K60/100,2)</f>
        <v>0</v>
      </c>
      <c r="O12" s="20">
        <f>ROUND(工程单价计算表!K61/100,2)</f>
        <v>0.87</v>
      </c>
      <c r="P12" s="20">
        <f>工程单价计算表!K63</f>
        <v>10.54</v>
      </c>
    </row>
    <row r="13" customHeight="1" spans="1:16">
      <c r="A13" s="18" t="s">
        <v>95</v>
      </c>
      <c r="B13" s="17" t="s">
        <v>96</v>
      </c>
      <c r="C13" s="18" t="s">
        <v>97</v>
      </c>
      <c r="D13" s="17" t="s">
        <v>82</v>
      </c>
      <c r="E13" s="20">
        <f>ROUND(工程单价计算表!K156/100,2)</f>
        <v>4.46</v>
      </c>
      <c r="F13" s="20">
        <f>ROUND(工程单价计算表!K158/100,2)</f>
        <v>0.29</v>
      </c>
      <c r="G13" s="20">
        <f>ROUND(工程单价计算表!K160/100,2)</f>
        <v>1.42</v>
      </c>
      <c r="H13" s="20">
        <f>ROUND(工程单价计算表!K162/100,2)</f>
        <v>0.28</v>
      </c>
      <c r="I13" s="20">
        <f>ROUND(工程单价计算表!K163/100,2)</f>
        <v>0.37</v>
      </c>
      <c r="J13" s="20">
        <f>ROUND(工程单价计算表!K164/100,2)</f>
        <v>0.4</v>
      </c>
      <c r="K13" s="20">
        <f>ROUND(工程单价计算表!K165/100,2)</f>
        <v>1.79</v>
      </c>
      <c r="L13" s="20">
        <f>ROUND(工程单价计算表!K166/100,2)</f>
        <v>0.63</v>
      </c>
      <c r="M13" s="20">
        <f>ROUND(工程单价计算表!K167/100,2)</f>
        <v>6.31</v>
      </c>
      <c r="N13" s="20">
        <f>ROUND(工程单价计算表!K170/100,2)</f>
        <v>0</v>
      </c>
      <c r="O13" s="20">
        <f>ROUND(工程单价计算表!K171/100,2)</f>
        <v>1.44</v>
      </c>
      <c r="P13" s="20">
        <f>工程单价计算表!K173</f>
        <v>17.39</v>
      </c>
    </row>
    <row r="14" customHeight="1" spans="1:16">
      <c r="A14" s="18" t="s">
        <v>99</v>
      </c>
      <c r="B14" s="17" t="s">
        <v>100</v>
      </c>
      <c r="C14" s="18" t="s">
        <v>101</v>
      </c>
      <c r="D14" s="17" t="s">
        <v>82</v>
      </c>
      <c r="E14" s="20">
        <f>ROUND(工程单价计算表!K82/100,2)</f>
        <v>0.14</v>
      </c>
      <c r="F14" s="20">
        <f>ROUND(工程单价计算表!K84/100,2)</f>
        <v>0.18</v>
      </c>
      <c r="G14" s="20">
        <f>ROUND(工程单价计算表!K86/100,2)</f>
        <v>1.64</v>
      </c>
      <c r="H14" s="20">
        <f>ROUND(工程单价计算表!K88/100,2)</f>
        <v>0.09</v>
      </c>
      <c r="I14" s="20">
        <f>ROUND(工程单价计算表!K89/100,2)</f>
        <v>0.08</v>
      </c>
      <c r="J14" s="20">
        <f>ROUND(工程单价计算表!K90/100,2)</f>
        <v>0.08</v>
      </c>
      <c r="K14" s="20">
        <f>ROUND(工程单价计算表!K91/100,2)</f>
        <v>0.13</v>
      </c>
      <c r="L14" s="20">
        <f>ROUND(工程单价计算表!K92/100,2)</f>
        <v>0.16</v>
      </c>
      <c r="M14" s="20">
        <f>ROUND(工程单价计算表!K93/100,2)</f>
        <v>1.63</v>
      </c>
      <c r="N14" s="20">
        <f>ROUND(工程单价计算表!K97/100,2)</f>
        <v>0</v>
      </c>
      <c r="O14" s="20">
        <f>ROUND(工程单价计算表!K98/100,2)</f>
        <v>0.37</v>
      </c>
      <c r="P14" s="20">
        <f>工程单价计算表!K100</f>
        <v>4.51</v>
      </c>
    </row>
    <row r="15" customHeight="1" spans="1:16">
      <c r="A15" s="18" t="s">
        <v>102</v>
      </c>
      <c r="B15" s="17" t="s">
        <v>103</v>
      </c>
      <c r="C15" s="18" t="s">
        <v>104</v>
      </c>
      <c r="D15" s="17" t="s">
        <v>82</v>
      </c>
      <c r="E15" s="20">
        <f>ROUND(工程单价计算表!K230/100,2)</f>
        <v>25.88</v>
      </c>
      <c r="F15" s="20">
        <f>ROUND(工程单价计算表!K235/100,2)</f>
        <v>111.02</v>
      </c>
      <c r="G15" s="20">
        <f>ROUND(工程单价计算表!K242/100,2)</f>
        <v>16.34</v>
      </c>
      <c r="H15" s="20">
        <f>ROUND(工程单价计算表!K250/100,2)</f>
        <v>6.9</v>
      </c>
      <c r="I15" s="20">
        <f>ROUND(工程单价计算表!K251/100,2)</f>
        <v>9.19</v>
      </c>
      <c r="J15" s="20">
        <f>ROUND(工程单价计算表!K252/100,2)</f>
        <v>6.27</v>
      </c>
      <c r="K15" s="20">
        <f>ROUND(工程单价计算表!K253/100,2)</f>
        <v>8.89</v>
      </c>
      <c r="L15" s="20">
        <f>ROUND(工程单价计算表!K254/100,2)</f>
        <v>12.91</v>
      </c>
      <c r="M15" s="20">
        <f>ROUND(工程单价计算表!K255/100,2)</f>
        <v>152.39</v>
      </c>
      <c r="N15" s="20">
        <f>ROUND(工程单价计算表!K269/100,2)</f>
        <v>0</v>
      </c>
      <c r="O15" s="20">
        <f>ROUND(工程单价计算表!K270/100,2)</f>
        <v>31.48</v>
      </c>
      <c r="P15" s="20">
        <f>工程单价计算表!K272</f>
        <v>381.27</v>
      </c>
    </row>
    <row r="16" ht="24.75" customHeight="1" spans="1:16">
      <c r="A16" s="18" t="s">
        <v>106</v>
      </c>
      <c r="B16" s="17" t="s">
        <v>107</v>
      </c>
      <c r="C16" s="18" t="s">
        <v>108</v>
      </c>
      <c r="D16" s="17" t="s">
        <v>109</v>
      </c>
      <c r="E16" s="20">
        <f>ROUND(工程单价计算表!K484/100,2)</f>
        <v>1.45</v>
      </c>
      <c r="F16" s="20">
        <f>ROUND(工程单价计算表!K486/100,2)</f>
        <v>0</v>
      </c>
      <c r="G16" s="20">
        <f>ROUND(工程单价计算表!K487/100,2)</f>
        <v>0.08</v>
      </c>
      <c r="H16" s="20">
        <f>ROUND(工程单价计算表!K490/100,2)</f>
        <v>0.08</v>
      </c>
      <c r="I16" s="20">
        <f>ROUND(工程单价计算表!K491/100,2)</f>
        <v>0.65</v>
      </c>
      <c r="J16" s="20">
        <f>ROUND(工程单价计算表!K492/100,2)</f>
        <v>0.68</v>
      </c>
      <c r="K16" s="20">
        <f>ROUND(工程单价计算表!K493/100,2)</f>
        <v>0.49</v>
      </c>
      <c r="L16" s="20">
        <f>ROUND(工程单价计算表!K494/100,2)</f>
        <v>0.24</v>
      </c>
      <c r="M16" s="20">
        <f>ROUND(工程单价计算表!K497/100,2)</f>
        <v>1.73</v>
      </c>
      <c r="N16" s="20">
        <f>ROUND(工程单价计算表!K500/100,2)</f>
        <v>0</v>
      </c>
      <c r="O16" s="20">
        <f>ROUND(工程单价计算表!K501/100,2)</f>
        <v>1.7</v>
      </c>
      <c r="P16" s="20">
        <f>工程单价计算表!K503</f>
        <v>20.65</v>
      </c>
    </row>
    <row r="17" customHeight="1" spans="1:16">
      <c r="A17" s="18" t="s">
        <v>111</v>
      </c>
      <c r="B17" s="17" t="s">
        <v>112</v>
      </c>
      <c r="C17" s="18" t="s">
        <v>113</v>
      </c>
      <c r="D17" s="17" t="s">
        <v>82</v>
      </c>
      <c r="E17" s="20">
        <f>ROUND(工程单价计算表!K631/100,2)</f>
        <v>12.49</v>
      </c>
      <c r="F17" s="20">
        <f>ROUND(工程单价计算表!K633/100,2)</f>
        <v>33.94</v>
      </c>
      <c r="G17" s="20">
        <f>ROUND(工程单价计算表!K637/100,2)</f>
        <v>0</v>
      </c>
      <c r="H17" s="20">
        <f>ROUND(工程单价计算表!K638/100,2)</f>
        <v>2.09</v>
      </c>
      <c r="I17" s="20">
        <f>ROUND(工程单价计算表!K639/100,2)</f>
        <v>2.79</v>
      </c>
      <c r="J17" s="20">
        <f>ROUND(工程单价计算表!K640/100,2)</f>
        <v>2.98</v>
      </c>
      <c r="K17" s="20">
        <f>ROUND(工程单价计算表!K641/100,2)</f>
        <v>4.1</v>
      </c>
      <c r="L17" s="20">
        <f>ROUND(工程单价计算表!K642/100,2)</f>
        <v>4.09</v>
      </c>
      <c r="M17" s="20">
        <f>ROUND(工程单价计算表!K643/100,2)</f>
        <v>84.36</v>
      </c>
      <c r="N17" s="20">
        <f>ROUND(工程单价计算表!K647/100,2)</f>
        <v>0</v>
      </c>
      <c r="O17" s="20">
        <f>ROUND(工程单价计算表!K648/100,2)</f>
        <v>13.21</v>
      </c>
      <c r="P17" s="20">
        <f>工程单价计算表!K650</f>
        <v>160.04</v>
      </c>
    </row>
    <row r="18" customHeight="1" spans="1:16">
      <c r="A18" s="18" t="s">
        <v>115</v>
      </c>
      <c r="B18" s="17" t="s">
        <v>116</v>
      </c>
      <c r="C18" s="18" t="s">
        <v>117</v>
      </c>
      <c r="D18" s="17" t="s">
        <v>77</v>
      </c>
      <c r="E18" s="20">
        <f>ROUND(工程单价计算表!K668/100,2)</f>
        <v>0.49</v>
      </c>
      <c r="F18" s="20">
        <f>ROUND(工程单价计算表!K670/100,2)</f>
        <v>4.82</v>
      </c>
      <c r="G18" s="20">
        <f>ROUND(工程单价计算表!K673/100,2)</f>
        <v>0</v>
      </c>
      <c r="H18" s="20">
        <f>ROUND(工程单价计算表!K674/100,2)</f>
        <v>0.24</v>
      </c>
      <c r="I18" s="20">
        <f>ROUND(工程单价计算表!K675/100,2)</f>
        <v>0.27</v>
      </c>
      <c r="J18" s="20">
        <f>ROUND(工程单价计算表!K676/100,2)</f>
        <v>0.28</v>
      </c>
      <c r="K18" s="20">
        <f>ROUND(工程单价计算表!K677/100,2)</f>
        <v>0.16</v>
      </c>
      <c r="L18" s="20">
        <f>ROUND(工程单价计算表!K678/100,2)</f>
        <v>0.44</v>
      </c>
      <c r="M18" s="20">
        <f>ROUND(工程单价计算表!K679/100,2)</f>
        <v>0.57</v>
      </c>
      <c r="N18" s="20">
        <f>ROUND(工程单价计算表!K681/100,2)</f>
        <v>0</v>
      </c>
      <c r="O18" s="20">
        <f>ROUND(工程单价计算表!K682/100,2)</f>
        <v>0.65</v>
      </c>
      <c r="P18" s="20">
        <f>工程单价计算表!K684</f>
        <v>7.93</v>
      </c>
    </row>
    <row r="19" customHeight="1" spans="1:16">
      <c r="A19" s="18" t="s">
        <v>119</v>
      </c>
      <c r="B19" s="17" t="s">
        <v>120</v>
      </c>
      <c r="C19" s="18" t="s">
        <v>121</v>
      </c>
      <c r="D19" s="17" t="s">
        <v>82</v>
      </c>
      <c r="E19" s="20">
        <f>ROUND(工程单价计算表!K193/100,2)</f>
        <v>4.14</v>
      </c>
      <c r="F19" s="20">
        <f>ROUND(工程单价计算表!K195/100,2)</f>
        <v>31.21</v>
      </c>
      <c r="G19" s="20">
        <f>ROUND(工程单价计算表!K198/100,2)</f>
        <v>0.54</v>
      </c>
      <c r="H19" s="20">
        <f>ROUND(工程单价计算表!K200/100,2)</f>
        <v>1.62</v>
      </c>
      <c r="I19" s="20">
        <f>ROUND(工程单价计算表!K201/100,2)</f>
        <v>2.15</v>
      </c>
      <c r="J19" s="20">
        <f>ROUND(工程单价计算表!K202/100,2)</f>
        <v>2.3</v>
      </c>
      <c r="K19" s="20">
        <f>ROUND(工程单价计算表!K203/100,2)</f>
        <v>1.36</v>
      </c>
      <c r="L19" s="20">
        <f>ROUND(工程单价计算表!K204/100,2)</f>
        <v>3.03</v>
      </c>
      <c r="M19" s="20">
        <f>ROUND(工程单价计算表!K205/100,2)</f>
        <v>55.77</v>
      </c>
      <c r="N19" s="20">
        <f>ROUND(工程单价计算表!K208/100,2)</f>
        <v>0</v>
      </c>
      <c r="O19" s="20">
        <f>ROUND(工程单价计算表!K209/100,2)</f>
        <v>9.19</v>
      </c>
      <c r="P19" s="20">
        <f>工程单价计算表!K211</f>
        <v>111.31</v>
      </c>
    </row>
    <row r="20" ht="24.75" customHeight="1" spans="1:16">
      <c r="A20" s="18" t="s">
        <v>123</v>
      </c>
      <c r="B20" s="17" t="s">
        <v>124</v>
      </c>
      <c r="C20" s="18" t="s">
        <v>125</v>
      </c>
      <c r="D20" s="17" t="s">
        <v>77</v>
      </c>
      <c r="E20" s="20">
        <f>ROUND(工程单价计算表!K336/100,2)</f>
        <v>7.4</v>
      </c>
      <c r="F20" s="20">
        <f>ROUND(工程单价计算表!K339/100,2)</f>
        <v>14.08</v>
      </c>
      <c r="G20" s="20">
        <f>ROUND(工程单价计算表!K350/100,2)</f>
        <v>4.92</v>
      </c>
      <c r="H20" s="20">
        <f>ROUND(工程单价计算表!K358/100,2)</f>
        <v>1.19</v>
      </c>
      <c r="I20" s="20">
        <f>ROUND(工程单价计算表!K359/100,2)</f>
        <v>1.58</v>
      </c>
      <c r="J20" s="20">
        <f>ROUND(工程单价计算表!K360/100,2)</f>
        <v>1.66</v>
      </c>
      <c r="K20" s="20">
        <f>ROUND(工程单价计算表!K361/100,2)</f>
        <v>2.7</v>
      </c>
      <c r="L20" s="20">
        <f>ROUND(工程单价计算表!K362/100,2)</f>
        <v>2.35</v>
      </c>
      <c r="M20" s="20">
        <f>ROUND(工程单价计算表!K363/100,2)</f>
        <v>14.89</v>
      </c>
      <c r="N20" s="20">
        <f>ROUND(工程单价计算表!K375/100,2)</f>
        <v>0</v>
      </c>
      <c r="O20" s="20">
        <f>ROUND(工程单价计算表!K376/100,2)</f>
        <v>4.57</v>
      </c>
      <c r="P20" s="20">
        <f>工程单价计算表!K378</f>
        <v>55.34</v>
      </c>
    </row>
    <row r="21" customHeight="1" spans="1:16">
      <c r="A21" s="18" t="s">
        <v>127</v>
      </c>
      <c r="B21" s="17" t="s">
        <v>128</v>
      </c>
      <c r="C21" s="18" t="s">
        <v>129</v>
      </c>
      <c r="D21" s="17" t="s">
        <v>77</v>
      </c>
      <c r="E21" s="20">
        <f>ROUND(工程单价计算表!K299/100,2)</f>
        <v>7.45</v>
      </c>
      <c r="F21" s="20">
        <f>ROUND(工程单价计算表!K301/100,2)</f>
        <v>77.29</v>
      </c>
      <c r="G21" s="20">
        <f>ROUND(工程单价计算表!K306/100,2)</f>
        <v>0.03</v>
      </c>
      <c r="H21" s="20">
        <f>ROUND(工程单价计算表!K308/100,2)</f>
        <v>3.81</v>
      </c>
      <c r="I21" s="20">
        <f>ROUND(工程单价计算表!K309/100,2)</f>
        <v>5.09</v>
      </c>
      <c r="J21" s="20">
        <f>ROUND(工程单价计算表!K310/100,2)</f>
        <v>3.47</v>
      </c>
      <c r="K21" s="20">
        <f>ROUND(工程单价计算表!K311/100,2)</f>
        <v>2.44</v>
      </c>
      <c r="L21" s="20">
        <f>ROUND(工程单价计算表!K312/100,2)</f>
        <v>6.97</v>
      </c>
      <c r="M21" s="20">
        <f>ROUND(工程单价计算表!K313/100,2)</f>
        <v>8.61</v>
      </c>
      <c r="N21" s="20">
        <f>ROUND(工程单价计算表!K315/100,2)</f>
        <v>0</v>
      </c>
      <c r="O21" s="20">
        <f>ROUND(工程单价计算表!K316/100,2)</f>
        <v>10.36</v>
      </c>
      <c r="P21" s="20">
        <f>工程单价计算表!K318</f>
        <v>125.52</v>
      </c>
    </row>
    <row r="22" customHeight="1" spans="1:16">
      <c r="A22" s="18" t="s">
        <v>131</v>
      </c>
      <c r="B22" s="17"/>
      <c r="C22" s="18" t="s">
        <v>132</v>
      </c>
      <c r="D22" s="17"/>
      <c r="E22" s="19"/>
      <c r="F22" s="19"/>
      <c r="G22" s="19"/>
      <c r="H22" s="19"/>
      <c r="I22" s="19"/>
      <c r="J22" s="19"/>
      <c r="K22" s="19"/>
      <c r="L22" s="19"/>
      <c r="M22" s="19"/>
      <c r="N22" s="19"/>
      <c r="O22" s="19"/>
      <c r="P22" s="19"/>
    </row>
    <row r="23" ht="7.5" customHeight="1" spans="1:16">
      <c r="A23" s="3"/>
      <c r="B23" s="3"/>
      <c r="C23" s="3"/>
      <c r="D23" s="3"/>
      <c r="E23" s="3"/>
      <c r="F23" s="3"/>
      <c r="G23" s="3"/>
      <c r="H23" s="3"/>
      <c r="I23" s="3"/>
      <c r="J23" s="3"/>
      <c r="K23" s="3"/>
      <c r="L23" s="3"/>
      <c r="M23" s="3"/>
      <c r="N23" s="3"/>
      <c r="O23" s="3"/>
      <c r="P23" s="3"/>
    </row>
    <row r="24" ht="26.25" customHeight="1" spans="1:16">
      <c r="A24" s="2" t="s">
        <v>197</v>
      </c>
      <c r="B24" s="2"/>
      <c r="C24" s="2"/>
      <c r="D24" s="2"/>
      <c r="E24" s="2"/>
      <c r="F24" s="2"/>
      <c r="G24" s="2"/>
      <c r="H24" s="2"/>
      <c r="I24" s="2"/>
      <c r="J24" s="2"/>
      <c r="K24" s="2"/>
      <c r="L24" s="2"/>
      <c r="M24" s="2"/>
      <c r="N24" s="2"/>
      <c r="O24" s="2"/>
      <c r="P24" s="2"/>
    </row>
    <row r="25" customHeight="1" spans="1:16">
      <c r="A25" s="12" t="s">
        <v>46</v>
      </c>
      <c r="B25" s="12"/>
      <c r="C25" s="3"/>
      <c r="D25" s="3"/>
      <c r="E25" s="3"/>
      <c r="F25" s="3"/>
      <c r="G25" s="3"/>
      <c r="H25" s="3"/>
      <c r="I25" s="3"/>
      <c r="J25" s="3"/>
      <c r="K25" s="3"/>
      <c r="L25" s="3"/>
      <c r="M25" s="3"/>
      <c r="N25" s="3"/>
      <c r="O25" s="3"/>
      <c r="P25" s="3"/>
    </row>
    <row r="26" customHeight="1" spans="1:16">
      <c r="A26" s="12" t="s">
        <v>47</v>
      </c>
      <c r="B26" s="12"/>
      <c r="C26" s="10" t="s">
        <v>0</v>
      </c>
      <c r="D26" s="10"/>
      <c r="E26" s="10"/>
      <c r="F26" s="10"/>
      <c r="G26" s="10"/>
      <c r="H26" s="10"/>
      <c r="I26" s="10"/>
      <c r="J26" s="10"/>
      <c r="K26" s="10"/>
      <c r="L26" s="10"/>
      <c r="M26" s="10"/>
      <c r="N26" s="16" t="s">
        <v>210</v>
      </c>
      <c r="O26" s="16"/>
      <c r="P26" s="16"/>
    </row>
    <row r="27" ht="37.5" customHeight="1" spans="1:16">
      <c r="A27" s="17" t="s">
        <v>48</v>
      </c>
      <c r="B27" s="17" t="s">
        <v>64</v>
      </c>
      <c r="C27" s="17" t="s">
        <v>65</v>
      </c>
      <c r="D27" s="17" t="s">
        <v>66</v>
      </c>
      <c r="E27" s="17" t="s">
        <v>199</v>
      </c>
      <c r="F27" s="17" t="s">
        <v>200</v>
      </c>
      <c r="G27" s="17" t="s">
        <v>201</v>
      </c>
      <c r="H27" s="17" t="s">
        <v>202</v>
      </c>
      <c r="I27" s="17" t="s">
        <v>203</v>
      </c>
      <c r="J27" s="17" t="s">
        <v>204</v>
      </c>
      <c r="K27" s="17" t="s">
        <v>205</v>
      </c>
      <c r="L27" s="17" t="s">
        <v>206</v>
      </c>
      <c r="M27" s="17" t="s">
        <v>207</v>
      </c>
      <c r="N27" s="17" t="s">
        <v>208</v>
      </c>
      <c r="O27" s="17" t="s">
        <v>209</v>
      </c>
      <c r="P27" s="17" t="s">
        <v>61</v>
      </c>
    </row>
    <row r="28" customHeight="1" spans="1:16">
      <c r="A28" s="18" t="s">
        <v>133</v>
      </c>
      <c r="B28" s="17" t="s">
        <v>134</v>
      </c>
      <c r="C28" s="18" t="s">
        <v>76</v>
      </c>
      <c r="D28" s="17" t="s">
        <v>77</v>
      </c>
      <c r="E28" s="20">
        <f>ROUND(工程单价计算表!K8/1000,2)</f>
        <v>0.03</v>
      </c>
      <c r="F28" s="20">
        <f>ROUND(工程单价计算表!K10/1000,2)</f>
        <v>0.03</v>
      </c>
      <c r="G28" s="20">
        <f>ROUND(工程单价计算表!K12/1000,2)</f>
        <v>0.27</v>
      </c>
      <c r="H28" s="20">
        <f>ROUND(工程单价计算表!K14/1000,2)</f>
        <v>0.01</v>
      </c>
      <c r="I28" s="20">
        <f>ROUND(工程单价计算表!K15/1000,2)</f>
        <v>0.01</v>
      </c>
      <c r="J28" s="20">
        <f>ROUND(工程单价计算表!K16/1000,2)</f>
        <v>0.01</v>
      </c>
      <c r="K28" s="20">
        <f>ROUND(工程单价计算表!K17/1000,2)</f>
        <v>0.02</v>
      </c>
      <c r="L28" s="20">
        <f>ROUND(工程单价计算表!K18/1000,2)</f>
        <v>0.03</v>
      </c>
      <c r="M28" s="20">
        <f>ROUND(工程单价计算表!K19/1000,2)</f>
        <v>0.28</v>
      </c>
      <c r="N28" s="20">
        <f>ROUND(工程单价计算表!K23/1000,2)</f>
        <v>0</v>
      </c>
      <c r="O28" s="20">
        <f>ROUND(工程单价计算表!K24/1000,2)</f>
        <v>0.06</v>
      </c>
      <c r="P28" s="20">
        <f>工程单价计算表!K26</f>
        <v>0.77</v>
      </c>
    </row>
    <row r="29" ht="24.75" customHeight="1" spans="1:16">
      <c r="A29" s="18" t="s">
        <v>136</v>
      </c>
      <c r="B29" s="17" t="s">
        <v>137</v>
      </c>
      <c r="C29" s="18" t="s">
        <v>81</v>
      </c>
      <c r="D29" s="17" t="s">
        <v>82</v>
      </c>
      <c r="E29" s="20">
        <f>ROUND(工程单价计算表!K521/100,2)</f>
        <v>2.04</v>
      </c>
      <c r="F29" s="20">
        <f>ROUND(工程单价计算表!K523/100,2)</f>
        <v>0.47</v>
      </c>
      <c r="G29" s="20">
        <f>ROUND(工程单价计算表!K525/100,2)</f>
        <v>1.07</v>
      </c>
      <c r="H29" s="20">
        <f>ROUND(工程单价计算表!K528/100,2)</f>
        <v>0.16</v>
      </c>
      <c r="I29" s="20">
        <f>ROUND(工程单价计算表!K529/100,2)</f>
        <v>0.14</v>
      </c>
      <c r="J29" s="20">
        <f>ROUND(工程单价计算表!K530/100,2)</f>
        <v>0.14</v>
      </c>
      <c r="K29" s="20">
        <f>ROUND(工程单价计算表!K531/100,2)</f>
        <v>0.7</v>
      </c>
      <c r="L29" s="20">
        <f>ROUND(工程单价计算表!K532/100,2)</f>
        <v>0.33</v>
      </c>
      <c r="M29" s="20">
        <f>ROUND(工程单价计算表!K533/100,2)</f>
        <v>3.03</v>
      </c>
      <c r="N29" s="20">
        <f>ROUND(工程单价计算表!K537/100,2)</f>
        <v>0</v>
      </c>
      <c r="O29" s="20">
        <f>ROUND(工程单价计算表!K538/100,2)</f>
        <v>0.73</v>
      </c>
      <c r="P29" s="20">
        <f>工程单价计算表!K540</f>
        <v>8.8</v>
      </c>
    </row>
    <row r="30" ht="24.75" customHeight="1" spans="1:16">
      <c r="A30" s="18" t="s">
        <v>139</v>
      </c>
      <c r="B30" s="17" t="s">
        <v>140</v>
      </c>
      <c r="C30" s="18" t="s">
        <v>89</v>
      </c>
      <c r="D30" s="17" t="s">
        <v>82</v>
      </c>
      <c r="E30" s="20">
        <f>ROUND(工程单价计算表!K558/100,2)</f>
        <v>2.25</v>
      </c>
      <c r="F30" s="20">
        <f>ROUND(工程单价计算表!K561/100,2)</f>
        <v>0.92</v>
      </c>
      <c r="G30" s="20">
        <f>ROUND(工程单价计算表!K564/100,2)</f>
        <v>12.1</v>
      </c>
      <c r="H30" s="20">
        <f>ROUND(工程单价计算表!K570/100,2)</f>
        <v>0.69</v>
      </c>
      <c r="I30" s="20">
        <f>ROUND(工程单价计算表!K571/100,2)</f>
        <v>0.61</v>
      </c>
      <c r="J30" s="20">
        <f>ROUND(工程单价计算表!K572/100,2)</f>
        <v>0.61</v>
      </c>
      <c r="K30" s="20">
        <f>ROUND(工程单价计算表!K573/100,2)</f>
        <v>1.12</v>
      </c>
      <c r="L30" s="20">
        <f>ROUND(工程单价计算表!K574/100,2)</f>
        <v>1.28</v>
      </c>
      <c r="M30" s="20">
        <f>ROUND(工程单价计算表!K575/100,2)</f>
        <v>13.88</v>
      </c>
      <c r="N30" s="20">
        <f>ROUND(工程单价计算表!K579/100,2)</f>
        <v>0</v>
      </c>
      <c r="O30" s="20">
        <f>ROUND(工程单价计算表!K580/100,2)</f>
        <v>3.01</v>
      </c>
      <c r="P30" s="20">
        <f>工程单价计算表!K582</f>
        <v>36.46</v>
      </c>
    </row>
    <row r="31" ht="24.75" customHeight="1" spans="1:16">
      <c r="A31" s="18" t="s">
        <v>142</v>
      </c>
      <c r="B31" s="17" t="s">
        <v>143</v>
      </c>
      <c r="C31" s="18" t="s">
        <v>93</v>
      </c>
      <c r="D31" s="17" t="s">
        <v>82</v>
      </c>
      <c r="E31" s="20">
        <f>ROUND(工程单价计算表!K45/100,2)</f>
        <v>1.81</v>
      </c>
      <c r="F31" s="20">
        <f>ROUND(工程单价计算表!K47/100,2)</f>
        <v>0.22</v>
      </c>
      <c r="G31" s="20">
        <f>ROUND(工程单价计算表!K49/100,2)</f>
        <v>2.56</v>
      </c>
      <c r="H31" s="20">
        <f>ROUND(工程单价计算表!K51/100,2)</f>
        <v>0.21</v>
      </c>
      <c r="I31" s="20">
        <f>ROUND(工程单价计算表!K52/100,2)</f>
        <v>0.18</v>
      </c>
      <c r="J31" s="20">
        <f>ROUND(工程单价计算表!K53/100,2)</f>
        <v>0.18</v>
      </c>
      <c r="K31" s="20">
        <f>ROUND(工程单价计算表!K54/100,2)</f>
        <v>0.72</v>
      </c>
      <c r="L31" s="20">
        <f>ROUND(工程单价计算表!K55/100,2)</f>
        <v>0.41</v>
      </c>
      <c r="M31" s="20">
        <f>ROUND(工程单价计算表!K56/100,2)</f>
        <v>3.38</v>
      </c>
      <c r="N31" s="20">
        <f>ROUND(工程单价计算表!K60/100,2)</f>
        <v>0</v>
      </c>
      <c r="O31" s="20">
        <f>ROUND(工程单价计算表!K61/100,2)</f>
        <v>0.87</v>
      </c>
      <c r="P31" s="20">
        <f>工程单价计算表!K63</f>
        <v>10.54</v>
      </c>
    </row>
    <row r="32" customHeight="1" spans="1:16">
      <c r="A32" s="18" t="s">
        <v>145</v>
      </c>
      <c r="B32" s="17" t="s">
        <v>146</v>
      </c>
      <c r="C32" s="18" t="s">
        <v>97</v>
      </c>
      <c r="D32" s="17" t="s">
        <v>82</v>
      </c>
      <c r="E32" s="20">
        <f>ROUND(工程单价计算表!K156/100,2)</f>
        <v>4.46</v>
      </c>
      <c r="F32" s="20">
        <f>ROUND(工程单价计算表!K158/100,2)</f>
        <v>0.29</v>
      </c>
      <c r="G32" s="20">
        <f>ROUND(工程单价计算表!K160/100,2)</f>
        <v>1.42</v>
      </c>
      <c r="H32" s="20">
        <f>ROUND(工程单价计算表!K162/100,2)</f>
        <v>0.28</v>
      </c>
      <c r="I32" s="20">
        <f>ROUND(工程单价计算表!K163/100,2)</f>
        <v>0.37</v>
      </c>
      <c r="J32" s="20">
        <f>ROUND(工程单价计算表!K164/100,2)</f>
        <v>0.4</v>
      </c>
      <c r="K32" s="20">
        <f>ROUND(工程单价计算表!K165/100,2)</f>
        <v>1.79</v>
      </c>
      <c r="L32" s="20">
        <f>ROUND(工程单价计算表!K166/100,2)</f>
        <v>0.63</v>
      </c>
      <c r="M32" s="20">
        <f>ROUND(工程单价计算表!K167/100,2)</f>
        <v>6.31</v>
      </c>
      <c r="N32" s="20">
        <f>ROUND(工程单价计算表!K170/100,2)</f>
        <v>0</v>
      </c>
      <c r="O32" s="20">
        <f>ROUND(工程单价计算表!K171/100,2)</f>
        <v>1.44</v>
      </c>
      <c r="P32" s="20">
        <f>工程单价计算表!K173</f>
        <v>17.39</v>
      </c>
    </row>
    <row r="33" customHeight="1" spans="1:16">
      <c r="A33" s="18" t="s">
        <v>148</v>
      </c>
      <c r="B33" s="17" t="s">
        <v>149</v>
      </c>
      <c r="C33" s="18" t="s">
        <v>101</v>
      </c>
      <c r="D33" s="17" t="s">
        <v>82</v>
      </c>
      <c r="E33" s="20">
        <f>ROUND(工程单价计算表!K82/100,2)</f>
        <v>0.14</v>
      </c>
      <c r="F33" s="20">
        <f>ROUND(工程单价计算表!K84/100,2)</f>
        <v>0.18</v>
      </c>
      <c r="G33" s="20">
        <f>ROUND(工程单价计算表!K86/100,2)</f>
        <v>1.64</v>
      </c>
      <c r="H33" s="20">
        <f>ROUND(工程单价计算表!K88/100,2)</f>
        <v>0.09</v>
      </c>
      <c r="I33" s="20">
        <f>ROUND(工程单价计算表!K89/100,2)</f>
        <v>0.08</v>
      </c>
      <c r="J33" s="20">
        <f>ROUND(工程单价计算表!K90/100,2)</f>
        <v>0.08</v>
      </c>
      <c r="K33" s="20">
        <f>ROUND(工程单价计算表!K91/100,2)</f>
        <v>0.13</v>
      </c>
      <c r="L33" s="20">
        <f>ROUND(工程单价计算表!K92/100,2)</f>
        <v>0.16</v>
      </c>
      <c r="M33" s="20">
        <f>ROUND(工程单价计算表!K93/100,2)</f>
        <v>1.63</v>
      </c>
      <c r="N33" s="20">
        <f>ROUND(工程单价计算表!K97/100,2)</f>
        <v>0</v>
      </c>
      <c r="O33" s="20">
        <f>ROUND(工程单价计算表!K98/100,2)</f>
        <v>0.37</v>
      </c>
      <c r="P33" s="20">
        <f>工程单价计算表!K100</f>
        <v>4.51</v>
      </c>
    </row>
    <row r="34" customHeight="1" spans="1:16">
      <c r="A34" s="18" t="s">
        <v>151</v>
      </c>
      <c r="B34" s="17" t="s">
        <v>152</v>
      </c>
      <c r="C34" s="18" t="s">
        <v>104</v>
      </c>
      <c r="D34" s="17" t="s">
        <v>82</v>
      </c>
      <c r="E34" s="20">
        <f>ROUND(工程单价计算表!K230/100,2)</f>
        <v>25.88</v>
      </c>
      <c r="F34" s="20">
        <f>ROUND(工程单价计算表!K235/100,2)</f>
        <v>111.02</v>
      </c>
      <c r="G34" s="20">
        <f>ROUND(工程单价计算表!K242/100,2)</f>
        <v>16.34</v>
      </c>
      <c r="H34" s="20">
        <f>ROUND(工程单价计算表!K250/100,2)</f>
        <v>6.9</v>
      </c>
      <c r="I34" s="20">
        <f>ROUND(工程单价计算表!K251/100,2)</f>
        <v>9.19</v>
      </c>
      <c r="J34" s="20">
        <f>ROUND(工程单价计算表!K252/100,2)</f>
        <v>6.27</v>
      </c>
      <c r="K34" s="20">
        <f>ROUND(工程单价计算表!K253/100,2)</f>
        <v>8.89</v>
      </c>
      <c r="L34" s="20">
        <f>ROUND(工程单价计算表!K254/100,2)</f>
        <v>12.91</v>
      </c>
      <c r="M34" s="20">
        <f>ROUND(工程单价计算表!K255/100,2)</f>
        <v>152.39</v>
      </c>
      <c r="N34" s="20">
        <f>ROUND(工程单价计算表!K269/100,2)</f>
        <v>0</v>
      </c>
      <c r="O34" s="20">
        <f>ROUND(工程单价计算表!K270/100,2)</f>
        <v>31.48</v>
      </c>
      <c r="P34" s="20">
        <f>工程单价计算表!K272</f>
        <v>381.27</v>
      </c>
    </row>
    <row r="35" ht="24.75" customHeight="1" spans="1:16">
      <c r="A35" s="18" t="s">
        <v>154</v>
      </c>
      <c r="B35" s="17" t="s">
        <v>155</v>
      </c>
      <c r="C35" s="18" t="s">
        <v>108</v>
      </c>
      <c r="D35" s="17" t="s">
        <v>109</v>
      </c>
      <c r="E35" s="20">
        <f>ROUND(工程单价计算表!K484/100,2)</f>
        <v>1.45</v>
      </c>
      <c r="F35" s="20">
        <f>ROUND(工程单价计算表!K486/100,2)</f>
        <v>0</v>
      </c>
      <c r="G35" s="20">
        <f>ROUND(工程单价计算表!K487/100,2)</f>
        <v>0.08</v>
      </c>
      <c r="H35" s="20">
        <f>ROUND(工程单价计算表!K490/100,2)</f>
        <v>0.08</v>
      </c>
      <c r="I35" s="20">
        <f>ROUND(工程单价计算表!K491/100,2)</f>
        <v>0.65</v>
      </c>
      <c r="J35" s="20">
        <f>ROUND(工程单价计算表!K492/100,2)</f>
        <v>0.68</v>
      </c>
      <c r="K35" s="20">
        <f>ROUND(工程单价计算表!K493/100,2)</f>
        <v>0.49</v>
      </c>
      <c r="L35" s="20">
        <f>ROUND(工程单价计算表!K494/100,2)</f>
        <v>0.24</v>
      </c>
      <c r="M35" s="20">
        <f>ROUND(工程单价计算表!K497/100,2)</f>
        <v>1.73</v>
      </c>
      <c r="N35" s="20">
        <f>ROUND(工程单价计算表!K500/100,2)</f>
        <v>0</v>
      </c>
      <c r="O35" s="20">
        <f>ROUND(工程单价计算表!K501/100,2)</f>
        <v>1.7</v>
      </c>
      <c r="P35" s="20">
        <f>工程单价计算表!K503</f>
        <v>20.65</v>
      </c>
    </row>
    <row r="36" customHeight="1" spans="1:16">
      <c r="A36" s="18" t="s">
        <v>157</v>
      </c>
      <c r="B36" s="17" t="s">
        <v>158</v>
      </c>
      <c r="C36" s="18" t="s">
        <v>113</v>
      </c>
      <c r="D36" s="17" t="s">
        <v>82</v>
      </c>
      <c r="E36" s="20">
        <f>ROUND(工程单价计算表!K631/100,2)</f>
        <v>12.49</v>
      </c>
      <c r="F36" s="20">
        <f>ROUND(工程单价计算表!K633/100,2)</f>
        <v>33.94</v>
      </c>
      <c r="G36" s="20">
        <f>ROUND(工程单价计算表!K637/100,2)</f>
        <v>0</v>
      </c>
      <c r="H36" s="20">
        <f>ROUND(工程单价计算表!K638/100,2)</f>
        <v>2.09</v>
      </c>
      <c r="I36" s="20">
        <f>ROUND(工程单价计算表!K639/100,2)</f>
        <v>2.79</v>
      </c>
      <c r="J36" s="20">
        <f>ROUND(工程单价计算表!K640/100,2)</f>
        <v>2.98</v>
      </c>
      <c r="K36" s="20">
        <f>ROUND(工程单价计算表!K641/100,2)</f>
        <v>4.1</v>
      </c>
      <c r="L36" s="20">
        <f>ROUND(工程单价计算表!K642/100,2)</f>
        <v>4.09</v>
      </c>
      <c r="M36" s="20">
        <f>ROUND(工程单价计算表!K643/100,2)</f>
        <v>84.36</v>
      </c>
      <c r="N36" s="20">
        <f>ROUND(工程单价计算表!K647/100,2)</f>
        <v>0</v>
      </c>
      <c r="O36" s="20">
        <f>ROUND(工程单价计算表!K648/100,2)</f>
        <v>13.21</v>
      </c>
      <c r="P36" s="20">
        <f>工程单价计算表!K650</f>
        <v>160.04</v>
      </c>
    </row>
    <row r="37" customHeight="1" spans="1:16">
      <c r="A37" s="18" t="s">
        <v>160</v>
      </c>
      <c r="B37" s="17" t="s">
        <v>161</v>
      </c>
      <c r="C37" s="18" t="s">
        <v>117</v>
      </c>
      <c r="D37" s="17" t="s">
        <v>77</v>
      </c>
      <c r="E37" s="20">
        <f>ROUND(工程单价计算表!K668/100,2)</f>
        <v>0.49</v>
      </c>
      <c r="F37" s="20">
        <f>ROUND(工程单价计算表!K670/100,2)</f>
        <v>4.82</v>
      </c>
      <c r="G37" s="20">
        <f>ROUND(工程单价计算表!K673/100,2)</f>
        <v>0</v>
      </c>
      <c r="H37" s="20">
        <f>ROUND(工程单价计算表!K674/100,2)</f>
        <v>0.24</v>
      </c>
      <c r="I37" s="20">
        <f>ROUND(工程单价计算表!K675/100,2)</f>
        <v>0.27</v>
      </c>
      <c r="J37" s="20">
        <f>ROUND(工程单价计算表!K676/100,2)</f>
        <v>0.28</v>
      </c>
      <c r="K37" s="20">
        <f>ROUND(工程单价计算表!K677/100,2)</f>
        <v>0.16</v>
      </c>
      <c r="L37" s="20">
        <f>ROUND(工程单价计算表!K678/100,2)</f>
        <v>0.44</v>
      </c>
      <c r="M37" s="20">
        <f>ROUND(工程单价计算表!K679/100,2)</f>
        <v>0.57</v>
      </c>
      <c r="N37" s="20">
        <f>ROUND(工程单价计算表!K681/100,2)</f>
        <v>0</v>
      </c>
      <c r="O37" s="20">
        <f>ROUND(工程单价计算表!K682/100,2)</f>
        <v>0.65</v>
      </c>
      <c r="P37" s="20">
        <f>工程单价计算表!K684</f>
        <v>7.93</v>
      </c>
    </row>
    <row r="38" customHeight="1" spans="1:16">
      <c r="A38" s="18" t="s">
        <v>163</v>
      </c>
      <c r="B38" s="17" t="s">
        <v>164</v>
      </c>
      <c r="C38" s="18" t="s">
        <v>121</v>
      </c>
      <c r="D38" s="17" t="s">
        <v>82</v>
      </c>
      <c r="E38" s="20">
        <f>ROUND(工程单价计算表!K193/100,2)</f>
        <v>4.14</v>
      </c>
      <c r="F38" s="20">
        <f>ROUND(工程单价计算表!K195/100,2)</f>
        <v>31.21</v>
      </c>
      <c r="G38" s="20">
        <f>ROUND(工程单价计算表!K198/100,2)</f>
        <v>0.54</v>
      </c>
      <c r="H38" s="20">
        <f>ROUND(工程单价计算表!K200/100,2)</f>
        <v>1.62</v>
      </c>
      <c r="I38" s="20">
        <f>ROUND(工程单价计算表!K201/100,2)</f>
        <v>2.15</v>
      </c>
      <c r="J38" s="20">
        <f>ROUND(工程单价计算表!K202/100,2)</f>
        <v>2.3</v>
      </c>
      <c r="K38" s="20">
        <f>ROUND(工程单价计算表!K203/100,2)</f>
        <v>1.36</v>
      </c>
      <c r="L38" s="20">
        <f>ROUND(工程单价计算表!K204/100,2)</f>
        <v>3.03</v>
      </c>
      <c r="M38" s="20">
        <f>ROUND(工程单价计算表!K205/100,2)</f>
        <v>55.77</v>
      </c>
      <c r="N38" s="20">
        <f>ROUND(工程单价计算表!K208/100,2)</f>
        <v>0</v>
      </c>
      <c r="O38" s="20">
        <f>ROUND(工程单价计算表!K209/100,2)</f>
        <v>9.19</v>
      </c>
      <c r="P38" s="20">
        <f>工程单价计算表!K211</f>
        <v>111.31</v>
      </c>
    </row>
    <row r="39" ht="24.75" customHeight="1" spans="1:16">
      <c r="A39" s="18" t="s">
        <v>166</v>
      </c>
      <c r="B39" s="17" t="s">
        <v>167</v>
      </c>
      <c r="C39" s="18" t="s">
        <v>125</v>
      </c>
      <c r="D39" s="17" t="s">
        <v>77</v>
      </c>
      <c r="E39" s="20">
        <f>ROUND(工程单价计算表!K336/100,2)</f>
        <v>7.4</v>
      </c>
      <c r="F39" s="20">
        <f>ROUND(工程单价计算表!K339/100,2)</f>
        <v>14.08</v>
      </c>
      <c r="G39" s="20">
        <f>ROUND(工程单价计算表!K350/100,2)</f>
        <v>4.92</v>
      </c>
      <c r="H39" s="20">
        <f>ROUND(工程单价计算表!K358/100,2)</f>
        <v>1.19</v>
      </c>
      <c r="I39" s="20">
        <f>ROUND(工程单价计算表!K359/100,2)</f>
        <v>1.58</v>
      </c>
      <c r="J39" s="20">
        <f>ROUND(工程单价计算表!K360/100,2)</f>
        <v>1.66</v>
      </c>
      <c r="K39" s="20">
        <f>ROUND(工程单价计算表!K361/100,2)</f>
        <v>2.7</v>
      </c>
      <c r="L39" s="20">
        <f>ROUND(工程单价计算表!K362/100,2)</f>
        <v>2.35</v>
      </c>
      <c r="M39" s="20">
        <f>ROUND(工程单价计算表!K363/100,2)</f>
        <v>14.89</v>
      </c>
      <c r="N39" s="20">
        <f>ROUND(工程单价计算表!K375/100,2)</f>
        <v>0</v>
      </c>
      <c r="O39" s="20">
        <f>ROUND(工程单价计算表!K376/100,2)</f>
        <v>4.57</v>
      </c>
      <c r="P39" s="20">
        <f>工程单价计算表!K378</f>
        <v>55.34</v>
      </c>
    </row>
    <row r="40" customHeight="1" spans="1:16">
      <c r="A40" s="18" t="s">
        <v>169</v>
      </c>
      <c r="B40" s="17" t="s">
        <v>170</v>
      </c>
      <c r="C40" s="18" t="s">
        <v>129</v>
      </c>
      <c r="D40" s="17" t="s">
        <v>77</v>
      </c>
      <c r="E40" s="20">
        <f>ROUND(工程单价计算表!K299/100,2)</f>
        <v>7.45</v>
      </c>
      <c r="F40" s="20">
        <f>ROUND(工程单价计算表!K301/100,2)</f>
        <v>77.29</v>
      </c>
      <c r="G40" s="20">
        <f>ROUND(工程单价计算表!K306/100,2)</f>
        <v>0.03</v>
      </c>
      <c r="H40" s="20">
        <f>ROUND(工程单价计算表!K308/100,2)</f>
        <v>3.81</v>
      </c>
      <c r="I40" s="20">
        <f>ROUND(工程单价计算表!K309/100,2)</f>
        <v>5.09</v>
      </c>
      <c r="J40" s="20">
        <f>ROUND(工程单价计算表!K310/100,2)</f>
        <v>3.47</v>
      </c>
      <c r="K40" s="20">
        <f>ROUND(工程单价计算表!K311/100,2)</f>
        <v>2.44</v>
      </c>
      <c r="L40" s="20">
        <f>ROUND(工程单价计算表!K312/100,2)</f>
        <v>6.97</v>
      </c>
      <c r="M40" s="20">
        <f>ROUND(工程单价计算表!K313/100,2)</f>
        <v>8.61</v>
      </c>
      <c r="N40" s="20">
        <f>ROUND(工程单价计算表!K315/100,2)</f>
        <v>0</v>
      </c>
      <c r="O40" s="20">
        <f>ROUND(工程单价计算表!K316/100,2)</f>
        <v>10.36</v>
      </c>
      <c r="P40" s="20">
        <f>工程单价计算表!K318</f>
        <v>125.52</v>
      </c>
    </row>
    <row r="41" customHeight="1" spans="1:16">
      <c r="A41" s="18" t="s">
        <v>53</v>
      </c>
      <c r="B41" s="17"/>
      <c r="C41" s="18" t="s">
        <v>54</v>
      </c>
      <c r="D41" s="17"/>
      <c r="E41" s="19"/>
      <c r="F41" s="19"/>
      <c r="G41" s="19"/>
      <c r="H41" s="19"/>
      <c r="I41" s="19"/>
      <c r="J41" s="19"/>
      <c r="K41" s="19"/>
      <c r="L41" s="19"/>
      <c r="M41" s="19"/>
      <c r="N41" s="19"/>
      <c r="O41" s="19"/>
      <c r="P41" s="19"/>
    </row>
    <row r="42" ht="24.75" customHeight="1" spans="1:16">
      <c r="A42" s="18" t="s">
        <v>178</v>
      </c>
      <c r="B42" s="17" t="s">
        <v>179</v>
      </c>
      <c r="C42" s="18" t="s">
        <v>180</v>
      </c>
      <c r="D42" s="17" t="s">
        <v>181</v>
      </c>
      <c r="E42" s="19"/>
      <c r="F42" s="19"/>
      <c r="G42" s="19"/>
      <c r="H42" s="19"/>
      <c r="I42" s="19"/>
      <c r="J42" s="19"/>
      <c r="K42" s="19"/>
      <c r="L42" s="19"/>
      <c r="M42" s="19"/>
      <c r="N42" s="19"/>
      <c r="O42" s="19"/>
      <c r="P42" s="19" t="s">
        <v>211</v>
      </c>
    </row>
    <row r="43" customHeight="1" spans="1:16">
      <c r="A43" s="18" t="s">
        <v>55</v>
      </c>
      <c r="B43" s="17"/>
      <c r="C43" s="18" t="s">
        <v>56</v>
      </c>
      <c r="D43" s="17"/>
      <c r="E43" s="19"/>
      <c r="F43" s="19"/>
      <c r="G43" s="19"/>
      <c r="H43" s="19"/>
      <c r="I43" s="19"/>
      <c r="J43" s="19"/>
      <c r="K43" s="19"/>
      <c r="L43" s="19"/>
      <c r="M43" s="19"/>
      <c r="N43" s="19"/>
      <c r="O43" s="19"/>
      <c r="P43" s="19"/>
    </row>
    <row r="44" customHeight="1" spans="1:16">
      <c r="A44" s="18" t="s">
        <v>183</v>
      </c>
      <c r="B44" s="17" t="s">
        <v>184</v>
      </c>
      <c r="C44" s="18" t="s">
        <v>185</v>
      </c>
      <c r="D44" s="17" t="s">
        <v>82</v>
      </c>
      <c r="E44" s="20">
        <f>ROUND(工程单价计算表!K410/100,2)</f>
        <v>0.76</v>
      </c>
      <c r="F44" s="20">
        <f>ROUND(工程单价计算表!K412/100,2)</f>
        <v>0.22</v>
      </c>
      <c r="G44" s="20">
        <f>ROUND(工程单价计算表!K414/100,2)</f>
        <v>1.48</v>
      </c>
      <c r="H44" s="20">
        <f>ROUND(工程单价计算表!K421/100,2)</f>
        <v>0.11</v>
      </c>
      <c r="I44" s="20">
        <f>ROUND(工程单价计算表!K422/100,2)</f>
        <v>0.15</v>
      </c>
      <c r="J44" s="20">
        <f>ROUND(工程单价计算表!K423/100,2)</f>
        <v>0.16</v>
      </c>
      <c r="K44" s="20">
        <f>ROUND(工程单价计算表!K424/100,2)</f>
        <v>0.34</v>
      </c>
      <c r="L44" s="20">
        <f>ROUND(工程单价计算表!K425/100,2)</f>
        <v>0.23</v>
      </c>
      <c r="M44" s="20">
        <f>ROUND(工程单价计算表!K426/100,2)</f>
        <v>2.2</v>
      </c>
      <c r="N44" s="20">
        <f>ROUND(工程单价计算表!K430/100,2)</f>
        <v>0</v>
      </c>
      <c r="O44" s="20">
        <f>ROUND(工程单价计算表!K431/100,2)</f>
        <v>0.51</v>
      </c>
      <c r="P44" s="20">
        <f>工程单价计算表!K433</f>
        <v>6.16</v>
      </c>
    </row>
    <row r="45" ht="7.5" customHeight="1" spans="1:16">
      <c r="A45" s="3"/>
      <c r="B45" s="3"/>
      <c r="C45" s="3"/>
      <c r="D45" s="3"/>
      <c r="E45" s="3"/>
      <c r="F45" s="3"/>
      <c r="G45" s="3"/>
      <c r="H45" s="3"/>
      <c r="I45" s="3"/>
      <c r="J45" s="3"/>
      <c r="K45" s="3"/>
      <c r="L45" s="3"/>
      <c r="M45" s="3"/>
      <c r="N45" s="3"/>
      <c r="O45" s="3"/>
      <c r="P45" s="3"/>
    </row>
    <row r="46" ht="26.25" customHeight="1" spans="1:16">
      <c r="A46" s="2" t="s">
        <v>197</v>
      </c>
      <c r="B46" s="2"/>
      <c r="C46" s="2"/>
      <c r="D46" s="2"/>
      <c r="E46" s="2"/>
      <c r="F46" s="2"/>
      <c r="G46" s="2"/>
      <c r="H46" s="2"/>
      <c r="I46" s="2"/>
      <c r="J46" s="2"/>
      <c r="K46" s="2"/>
      <c r="L46" s="2"/>
      <c r="M46" s="2"/>
      <c r="N46" s="2"/>
      <c r="O46" s="2"/>
      <c r="P46" s="2"/>
    </row>
    <row r="47" customHeight="1" spans="1:16">
      <c r="A47" s="12" t="s">
        <v>46</v>
      </c>
      <c r="B47" s="12"/>
      <c r="C47" s="3"/>
      <c r="D47" s="3"/>
      <c r="E47" s="3"/>
      <c r="F47" s="3"/>
      <c r="G47" s="3"/>
      <c r="H47" s="3"/>
      <c r="I47" s="3"/>
      <c r="J47" s="3"/>
      <c r="K47" s="3"/>
      <c r="L47" s="3"/>
      <c r="M47" s="3"/>
      <c r="N47" s="3"/>
      <c r="O47" s="3"/>
      <c r="P47" s="3"/>
    </row>
    <row r="48" customHeight="1" spans="1:16">
      <c r="A48" s="12" t="s">
        <v>47</v>
      </c>
      <c r="B48" s="12"/>
      <c r="C48" s="10" t="s">
        <v>0</v>
      </c>
      <c r="D48" s="10"/>
      <c r="E48" s="10"/>
      <c r="F48" s="10"/>
      <c r="G48" s="10"/>
      <c r="H48" s="10"/>
      <c r="I48" s="10"/>
      <c r="J48" s="10"/>
      <c r="K48" s="10"/>
      <c r="L48" s="10"/>
      <c r="M48" s="10"/>
      <c r="N48" s="16" t="s">
        <v>212</v>
      </c>
      <c r="O48" s="16"/>
      <c r="P48" s="16"/>
    </row>
    <row r="49" ht="37.5" customHeight="1" spans="1:16">
      <c r="A49" s="17" t="s">
        <v>48</v>
      </c>
      <c r="B49" s="17" t="s">
        <v>64</v>
      </c>
      <c r="C49" s="17" t="s">
        <v>65</v>
      </c>
      <c r="D49" s="17" t="s">
        <v>66</v>
      </c>
      <c r="E49" s="17" t="s">
        <v>199</v>
      </c>
      <c r="F49" s="17" t="s">
        <v>200</v>
      </c>
      <c r="G49" s="17" t="s">
        <v>201</v>
      </c>
      <c r="H49" s="17" t="s">
        <v>202</v>
      </c>
      <c r="I49" s="17" t="s">
        <v>203</v>
      </c>
      <c r="J49" s="17" t="s">
        <v>204</v>
      </c>
      <c r="K49" s="17" t="s">
        <v>205</v>
      </c>
      <c r="L49" s="17" t="s">
        <v>206</v>
      </c>
      <c r="M49" s="17" t="s">
        <v>207</v>
      </c>
      <c r="N49" s="17" t="s">
        <v>208</v>
      </c>
      <c r="O49" s="17" t="s">
        <v>209</v>
      </c>
      <c r="P49" s="17" t="s">
        <v>61</v>
      </c>
    </row>
    <row r="50" customHeight="1" spans="1:16">
      <c r="A50" s="18" t="s">
        <v>186</v>
      </c>
      <c r="B50" s="17" t="s">
        <v>187</v>
      </c>
      <c r="C50" s="18" t="s">
        <v>188</v>
      </c>
      <c r="D50" s="17" t="s">
        <v>82</v>
      </c>
      <c r="E50" s="20">
        <f>ROUND(工程单价计算表!K119/100,2)</f>
        <v>0.21</v>
      </c>
      <c r="F50" s="20">
        <f>ROUND(工程单价计算表!K121/100,2)</f>
        <v>0.45</v>
      </c>
      <c r="G50" s="20">
        <f>ROUND(工程单价计算表!K123/100,2)</f>
        <v>11.03</v>
      </c>
      <c r="H50" s="20">
        <f>ROUND(工程单价计算表!K127/100,2)</f>
        <v>0.53</v>
      </c>
      <c r="I50" s="20">
        <f>ROUND(工程单价计算表!K128/100,2)</f>
        <v>0.47</v>
      </c>
      <c r="J50" s="20">
        <f>ROUND(工程单价计算表!K129/100,2)</f>
        <v>0.47</v>
      </c>
      <c r="K50" s="20">
        <f>ROUND(工程单价计算表!K130/100,2)</f>
        <v>0.42</v>
      </c>
      <c r="L50" s="20">
        <f>ROUND(工程单价计算表!K131/100,2)</f>
        <v>0.95</v>
      </c>
      <c r="M50" s="20">
        <f>ROUND(工程单价计算表!K132/100,2)</f>
        <v>10.85</v>
      </c>
      <c r="N50" s="20">
        <f>ROUND(工程单价计算表!K136/100,2)</f>
        <v>0</v>
      </c>
      <c r="O50" s="20">
        <f>ROUND(工程单价计算表!K137/100,2)</f>
        <v>2.28</v>
      </c>
      <c r="P50" s="20">
        <f>工程单价计算表!K139</f>
        <v>27.66</v>
      </c>
    </row>
    <row r="51" customHeight="1" spans="1:16">
      <c r="A51" s="18" t="s">
        <v>189</v>
      </c>
      <c r="B51" s="17" t="s">
        <v>190</v>
      </c>
      <c r="C51" s="18" t="s">
        <v>191</v>
      </c>
      <c r="D51" s="17" t="s">
        <v>77</v>
      </c>
      <c r="E51" s="20">
        <f>ROUND(工程单价计算表!K447/100,2)</f>
        <v>0.28</v>
      </c>
      <c r="F51" s="20">
        <f>ROUND(工程单价计算表!K449/100,2)</f>
        <v>2.28</v>
      </c>
      <c r="G51" s="20">
        <f>ROUND(工程单价计算表!K452/100,2)</f>
        <v>0</v>
      </c>
      <c r="H51" s="20">
        <f>ROUND(工程单价计算表!K453/100,2)</f>
        <v>0.12</v>
      </c>
      <c r="I51" s="20">
        <f>ROUND(工程单价计算表!K454/100,2)</f>
        <v>0.13</v>
      </c>
      <c r="J51" s="20">
        <f>ROUND(工程单价计算表!K455/100,2)</f>
        <v>0.13</v>
      </c>
      <c r="K51" s="20">
        <f>ROUND(工程单价计算表!K456/100,2)</f>
        <v>0.09</v>
      </c>
      <c r="L51" s="20">
        <f>ROUND(工程单价计算表!K457/100,2)</f>
        <v>0.21</v>
      </c>
      <c r="M51" s="20">
        <f>ROUND(工程单价计算表!K458/100,2)</f>
        <v>0.33</v>
      </c>
      <c r="N51" s="20">
        <f>ROUND(工程单价计算表!K460/100,2)</f>
        <v>0</v>
      </c>
      <c r="O51" s="20">
        <f>ROUND(工程单价计算表!K461/100,2)</f>
        <v>0.32</v>
      </c>
      <c r="P51" s="20">
        <f>工程单价计算表!K463</f>
        <v>3.9</v>
      </c>
    </row>
    <row r="52" customHeight="1" spans="1:16">
      <c r="A52" s="18"/>
      <c r="B52" s="17"/>
      <c r="C52" s="18"/>
      <c r="D52" s="17"/>
      <c r="E52" s="19"/>
      <c r="F52" s="19"/>
      <c r="G52" s="19"/>
      <c r="H52" s="19"/>
      <c r="I52" s="19"/>
      <c r="J52" s="19"/>
      <c r="K52" s="19"/>
      <c r="L52" s="19"/>
      <c r="M52" s="19"/>
      <c r="N52" s="19"/>
      <c r="O52" s="19"/>
      <c r="P52" s="19"/>
    </row>
    <row r="53" customHeight="1" spans="1:16">
      <c r="A53" s="18"/>
      <c r="B53" s="17"/>
      <c r="C53" s="18"/>
      <c r="D53" s="17"/>
      <c r="E53" s="19"/>
      <c r="F53" s="19"/>
      <c r="G53" s="19"/>
      <c r="H53" s="19"/>
      <c r="I53" s="19"/>
      <c r="J53" s="19"/>
      <c r="K53" s="19"/>
      <c r="L53" s="19"/>
      <c r="M53" s="19"/>
      <c r="N53" s="19"/>
      <c r="O53" s="19"/>
      <c r="P53" s="19"/>
    </row>
    <row r="54" customHeight="1" spans="1:16">
      <c r="A54" s="18"/>
      <c r="B54" s="17"/>
      <c r="C54" s="18"/>
      <c r="D54" s="17"/>
      <c r="E54" s="19"/>
      <c r="F54" s="19"/>
      <c r="G54" s="19"/>
      <c r="H54" s="19"/>
      <c r="I54" s="19"/>
      <c r="J54" s="19"/>
      <c r="K54" s="19"/>
      <c r="L54" s="19"/>
      <c r="M54" s="19"/>
      <c r="N54" s="19"/>
      <c r="O54" s="19"/>
      <c r="P54" s="19"/>
    </row>
    <row r="55" customHeight="1" spans="1:16">
      <c r="A55" s="18"/>
      <c r="B55" s="17"/>
      <c r="C55" s="18"/>
      <c r="D55" s="17"/>
      <c r="E55" s="19"/>
      <c r="F55" s="19"/>
      <c r="G55" s="19"/>
      <c r="H55" s="19"/>
      <c r="I55" s="19"/>
      <c r="J55" s="19"/>
      <c r="K55" s="19"/>
      <c r="L55" s="19"/>
      <c r="M55" s="19"/>
      <c r="N55" s="19"/>
      <c r="O55" s="19"/>
      <c r="P55" s="19"/>
    </row>
    <row r="56" customHeight="1" spans="1:16">
      <c r="A56" s="18"/>
      <c r="B56" s="17"/>
      <c r="C56" s="18"/>
      <c r="D56" s="17"/>
      <c r="E56" s="19"/>
      <c r="F56" s="19"/>
      <c r="G56" s="19"/>
      <c r="H56" s="19"/>
      <c r="I56" s="19"/>
      <c r="J56" s="19"/>
      <c r="K56" s="19"/>
      <c r="L56" s="19"/>
      <c r="M56" s="19"/>
      <c r="N56" s="19"/>
      <c r="O56" s="19"/>
      <c r="P56" s="19"/>
    </row>
    <row r="57" customHeight="1" spans="1:16">
      <c r="A57" s="18"/>
      <c r="B57" s="17"/>
      <c r="C57" s="18"/>
      <c r="D57" s="17"/>
      <c r="E57" s="19"/>
      <c r="F57" s="19"/>
      <c r="G57" s="19"/>
      <c r="H57" s="19"/>
      <c r="I57" s="19"/>
      <c r="J57" s="19"/>
      <c r="K57" s="19"/>
      <c r="L57" s="19"/>
      <c r="M57" s="19"/>
      <c r="N57" s="19"/>
      <c r="O57" s="19"/>
      <c r="P57" s="19"/>
    </row>
    <row r="58" customHeight="1" spans="1:16">
      <c r="A58" s="18"/>
      <c r="B58" s="17"/>
      <c r="C58" s="18"/>
      <c r="D58" s="17"/>
      <c r="E58" s="19"/>
      <c r="F58" s="19"/>
      <c r="G58" s="19"/>
      <c r="H58" s="19"/>
      <c r="I58" s="19"/>
      <c r="J58" s="19"/>
      <c r="K58" s="19"/>
      <c r="L58" s="19"/>
      <c r="M58" s="19"/>
      <c r="N58" s="19"/>
      <c r="O58" s="19"/>
      <c r="P58" s="19"/>
    </row>
    <row r="59" customHeight="1" spans="1:16">
      <c r="A59" s="18"/>
      <c r="B59" s="17"/>
      <c r="C59" s="18"/>
      <c r="D59" s="17"/>
      <c r="E59" s="19"/>
      <c r="F59" s="19"/>
      <c r="G59" s="19"/>
      <c r="H59" s="19"/>
      <c r="I59" s="19"/>
      <c r="J59" s="19"/>
      <c r="K59" s="19"/>
      <c r="L59" s="19"/>
      <c r="M59" s="19"/>
      <c r="N59" s="19"/>
      <c r="O59" s="19"/>
      <c r="P59" s="19"/>
    </row>
    <row r="60" customHeight="1" spans="1:16">
      <c r="A60" s="18"/>
      <c r="B60" s="17"/>
      <c r="C60" s="18"/>
      <c r="D60" s="17"/>
      <c r="E60" s="19"/>
      <c r="F60" s="19"/>
      <c r="G60" s="19"/>
      <c r="H60" s="19"/>
      <c r="I60" s="19"/>
      <c r="J60" s="19"/>
      <c r="K60" s="19"/>
      <c r="L60" s="19"/>
      <c r="M60" s="19"/>
      <c r="N60" s="19"/>
      <c r="O60" s="19"/>
      <c r="P60" s="19"/>
    </row>
    <row r="61" customHeight="1" spans="1:16">
      <c r="A61" s="18"/>
      <c r="B61" s="17"/>
      <c r="C61" s="18"/>
      <c r="D61" s="17"/>
      <c r="E61" s="19"/>
      <c r="F61" s="19"/>
      <c r="G61" s="19"/>
      <c r="H61" s="19"/>
      <c r="I61" s="19"/>
      <c r="J61" s="19"/>
      <c r="K61" s="19"/>
      <c r="L61" s="19"/>
      <c r="M61" s="19"/>
      <c r="N61" s="19"/>
      <c r="O61" s="19"/>
      <c r="P61" s="19"/>
    </row>
    <row r="62" customHeight="1" spans="1:16">
      <c r="A62" s="18"/>
      <c r="B62" s="17"/>
      <c r="C62" s="18"/>
      <c r="D62" s="17"/>
      <c r="E62" s="19"/>
      <c r="F62" s="19"/>
      <c r="G62" s="19"/>
      <c r="H62" s="19"/>
      <c r="I62" s="19"/>
      <c r="J62" s="19"/>
      <c r="K62" s="19"/>
      <c r="L62" s="19"/>
      <c r="M62" s="19"/>
      <c r="N62" s="19"/>
      <c r="O62" s="19"/>
      <c r="P62" s="19"/>
    </row>
    <row r="63" customHeight="1" spans="1:16">
      <c r="A63" s="18"/>
      <c r="B63" s="17"/>
      <c r="C63" s="18"/>
      <c r="D63" s="17"/>
      <c r="E63" s="19"/>
      <c r="F63" s="19"/>
      <c r="G63" s="19"/>
      <c r="H63" s="19"/>
      <c r="I63" s="19"/>
      <c r="J63" s="19"/>
      <c r="K63" s="19"/>
      <c r="L63" s="19"/>
      <c r="M63" s="19"/>
      <c r="N63" s="19"/>
      <c r="O63" s="19"/>
      <c r="P63" s="19"/>
    </row>
    <row r="64" customHeight="1" spans="1:16">
      <c r="A64" s="18"/>
      <c r="B64" s="17"/>
      <c r="C64" s="18"/>
      <c r="D64" s="17"/>
      <c r="E64" s="19"/>
      <c r="F64" s="19"/>
      <c r="G64" s="19"/>
      <c r="H64" s="19"/>
      <c r="I64" s="19"/>
      <c r="J64" s="19"/>
      <c r="K64" s="19"/>
      <c r="L64" s="19"/>
      <c r="M64" s="19"/>
      <c r="N64" s="19"/>
      <c r="O64" s="19"/>
      <c r="P64" s="19"/>
    </row>
    <row r="65" customHeight="1" spans="1:16">
      <c r="A65" s="18"/>
      <c r="B65" s="17"/>
      <c r="C65" s="18"/>
      <c r="D65" s="17"/>
      <c r="E65" s="19"/>
      <c r="F65" s="19"/>
      <c r="G65" s="19"/>
      <c r="H65" s="19"/>
      <c r="I65" s="19"/>
      <c r="J65" s="19"/>
      <c r="K65" s="19"/>
      <c r="L65" s="19"/>
      <c r="M65" s="19"/>
      <c r="N65" s="19"/>
      <c r="O65" s="19"/>
      <c r="P65" s="19"/>
    </row>
    <row r="66" customHeight="1" spans="1:16">
      <c r="A66" s="18"/>
      <c r="B66" s="17"/>
      <c r="C66" s="18"/>
      <c r="D66" s="17"/>
      <c r="E66" s="19"/>
      <c r="F66" s="19"/>
      <c r="G66" s="19"/>
      <c r="H66" s="19"/>
      <c r="I66" s="19"/>
      <c r="J66" s="19"/>
      <c r="K66" s="19"/>
      <c r="L66" s="19"/>
      <c r="M66" s="19"/>
      <c r="N66" s="19"/>
      <c r="O66" s="19"/>
      <c r="P66" s="19"/>
    </row>
    <row r="67" customHeight="1" spans="1:16">
      <c r="A67" s="18"/>
      <c r="B67" s="17"/>
      <c r="C67" s="18"/>
      <c r="D67" s="17"/>
      <c r="E67" s="19"/>
      <c r="F67" s="19"/>
      <c r="G67" s="19"/>
      <c r="H67" s="19"/>
      <c r="I67" s="19"/>
      <c r="J67" s="19"/>
      <c r="K67" s="19"/>
      <c r="L67" s="19"/>
      <c r="M67" s="19"/>
      <c r="N67" s="19"/>
      <c r="O67" s="19"/>
      <c r="P67" s="19"/>
    </row>
    <row r="68" customHeight="1" spans="1:16">
      <c r="A68" s="18"/>
      <c r="B68" s="17"/>
      <c r="C68" s="18"/>
      <c r="D68" s="17"/>
      <c r="E68" s="19"/>
      <c r="F68" s="19"/>
      <c r="G68" s="19"/>
      <c r="H68" s="19"/>
      <c r="I68" s="19"/>
      <c r="J68" s="19"/>
      <c r="K68" s="19"/>
      <c r="L68" s="19"/>
      <c r="M68" s="19"/>
      <c r="N68" s="19"/>
      <c r="O68" s="19"/>
      <c r="P68" s="19"/>
    </row>
  </sheetData>
  <mergeCells count="18">
    <mergeCell ref="A2:P2"/>
    <mergeCell ref="A3:B3"/>
    <mergeCell ref="C3:P3"/>
    <mergeCell ref="A4:B4"/>
    <mergeCell ref="C4:M4"/>
    <mergeCell ref="N4:P4"/>
    <mergeCell ref="A24:P24"/>
    <mergeCell ref="A25:B25"/>
    <mergeCell ref="C25:P25"/>
    <mergeCell ref="A26:B26"/>
    <mergeCell ref="C26:M26"/>
    <mergeCell ref="N26:P26"/>
    <mergeCell ref="A46:P46"/>
    <mergeCell ref="A47:B47"/>
    <mergeCell ref="C47:P47"/>
    <mergeCell ref="A48:B48"/>
    <mergeCell ref="C48:M48"/>
    <mergeCell ref="N48:P48"/>
  </mergeCells>
  <printOptions horizontalCentered="1"/>
  <pageMargins left="0" right="0" top="0.90551" bottom="0" header="0.55118" footer="0.3937"/>
  <pageSetup paperSize="9" firstPageNumber="8" pageOrder="overThenDown" orientation="landscape" useFirstPageNumber="1" horizontalDpi="300" verticalDpi="300"/>
  <headerFooter alignWithMargins="0" scaleWithDoc="0">
    <oddFooter>&amp;C&amp;P</oddFooter>
  </headerFooter>
  <rowBreaks count="2" manualBreakCount="2">
    <brk id="22" max="255" man="1"/>
    <brk id="44" max="255"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36"/>
  <sheetViews>
    <sheetView zoomScaleSheetLayoutView="60" workbookViewId="0">
      <selection activeCell="A1" sqref="A1"/>
    </sheetView>
  </sheetViews>
  <sheetFormatPr defaultColWidth="11" defaultRowHeight="18.75" customHeight="1"/>
  <cols>
    <col min="1" max="1" width="5.625" style="1" customWidth="1"/>
    <col min="2" max="2" width="5" style="1" customWidth="1"/>
    <col min="3" max="3" width="13.125" style="1" customWidth="1"/>
    <col min="4" max="6" width="6.25" style="1" customWidth="1"/>
    <col min="7" max="7" width="7.5" style="1" customWidth="1"/>
    <col min="8" max="10" width="6.25" style="1" customWidth="1"/>
    <col min="11" max="11" width="9.375" style="1" customWidth="1"/>
    <col min="12" max="12" width="9.625" style="1" customWidth="1"/>
    <col min="13" max="16384" width="11" style="1"/>
  </cols>
  <sheetData>
    <row r="1" ht="7.5" customHeight="1" spans="1:11">
      <c r="A1" s="3"/>
      <c r="B1" s="8"/>
      <c r="C1" s="8"/>
      <c r="D1" s="8"/>
      <c r="E1" s="8"/>
      <c r="F1" s="8"/>
      <c r="G1" s="8"/>
      <c r="H1" s="8"/>
      <c r="I1" s="8"/>
      <c r="J1" s="8"/>
      <c r="K1" s="8"/>
    </row>
    <row r="2" ht="26.25" customHeight="1" spans="1:11">
      <c r="A2" s="2" t="s">
        <v>213</v>
      </c>
      <c r="B2" s="2"/>
      <c r="C2" s="2"/>
      <c r="D2" s="2"/>
      <c r="E2" s="2"/>
      <c r="F2" s="2"/>
      <c r="G2" s="2"/>
      <c r="H2" s="2"/>
      <c r="I2" s="2"/>
      <c r="J2" s="2"/>
      <c r="K2" s="2"/>
    </row>
    <row r="3" customHeight="1" spans="1:11">
      <c r="A3" s="9" t="s">
        <v>46</v>
      </c>
      <c r="B3" s="9"/>
      <c r="C3" s="3"/>
      <c r="D3" s="3"/>
      <c r="E3" s="3"/>
      <c r="F3" s="3"/>
      <c r="G3" s="3"/>
      <c r="H3" s="3"/>
      <c r="I3" s="3"/>
      <c r="J3" s="3"/>
      <c r="K3" s="3"/>
    </row>
    <row r="4" customHeight="1" spans="1:11">
      <c r="A4" s="9" t="s">
        <v>47</v>
      </c>
      <c r="B4" s="9"/>
      <c r="C4" s="10" t="s">
        <v>0</v>
      </c>
      <c r="D4" s="10"/>
      <c r="E4" s="10"/>
      <c r="F4" s="10"/>
      <c r="G4" s="10"/>
      <c r="H4" s="10"/>
      <c r="I4" s="10"/>
      <c r="J4" s="16" t="s">
        <v>28</v>
      </c>
      <c r="K4" s="16"/>
    </row>
    <row r="5" customHeight="1" spans="1:11">
      <c r="A5" s="6" t="s">
        <v>48</v>
      </c>
      <c r="B5" s="6" t="s">
        <v>214</v>
      </c>
      <c r="C5" s="6"/>
      <c r="D5" s="6" t="s">
        <v>215</v>
      </c>
      <c r="E5" s="6"/>
      <c r="F5" s="6"/>
      <c r="G5" s="6"/>
      <c r="H5" s="6"/>
      <c r="I5" s="6"/>
      <c r="J5" s="6"/>
      <c r="K5" s="6" t="s">
        <v>71</v>
      </c>
    </row>
    <row r="6" ht="33.75" customHeight="1" spans="1:11">
      <c r="A6" s="6"/>
      <c r="B6" s="6"/>
      <c r="C6" s="6"/>
      <c r="D6" s="6" t="s">
        <v>202</v>
      </c>
      <c r="E6" s="6" t="s">
        <v>203</v>
      </c>
      <c r="F6" s="6" t="s">
        <v>204</v>
      </c>
      <c r="G6" s="17" t="s">
        <v>216</v>
      </c>
      <c r="H6" s="6" t="s">
        <v>206</v>
      </c>
      <c r="I6" s="6" t="s">
        <v>208</v>
      </c>
      <c r="J6" s="6" t="s">
        <v>209</v>
      </c>
      <c r="K6" s="6"/>
    </row>
    <row r="7" customHeight="1" spans="1:11">
      <c r="A7" s="6" t="s">
        <v>217</v>
      </c>
      <c r="B7" s="5" t="s">
        <v>218</v>
      </c>
      <c r="C7" s="5"/>
      <c r="D7" s="6"/>
      <c r="E7" s="6"/>
      <c r="F7" s="6"/>
      <c r="G7" s="6"/>
      <c r="H7" s="6"/>
      <c r="I7" s="6"/>
      <c r="J7" s="6"/>
      <c r="K7" s="5"/>
    </row>
    <row r="8" customHeight="1" spans="1:11">
      <c r="A8" s="6" t="s">
        <v>51</v>
      </c>
      <c r="B8" s="5" t="s">
        <v>219</v>
      </c>
      <c r="C8" s="5"/>
      <c r="D8" s="6" t="s">
        <v>220</v>
      </c>
      <c r="E8" s="6" t="s">
        <v>57</v>
      </c>
      <c r="F8" s="6" t="s">
        <v>221</v>
      </c>
      <c r="G8" s="6" t="s">
        <v>222</v>
      </c>
      <c r="H8" s="6" t="s">
        <v>223</v>
      </c>
      <c r="I8" s="6" t="s">
        <v>224</v>
      </c>
      <c r="J8" s="6" t="s">
        <v>225</v>
      </c>
      <c r="K8" s="5"/>
    </row>
    <row r="9" customHeight="1" spans="1:11">
      <c r="A9" s="6" t="s">
        <v>53</v>
      </c>
      <c r="B9" s="5" t="s">
        <v>226</v>
      </c>
      <c r="C9" s="5"/>
      <c r="D9" s="6" t="s">
        <v>220</v>
      </c>
      <c r="E9" s="6" t="s">
        <v>227</v>
      </c>
      <c r="F9" s="6" t="s">
        <v>228</v>
      </c>
      <c r="G9" s="6" t="s">
        <v>222</v>
      </c>
      <c r="H9" s="6" t="s">
        <v>223</v>
      </c>
      <c r="I9" s="6" t="s">
        <v>224</v>
      </c>
      <c r="J9" s="6" t="s">
        <v>225</v>
      </c>
      <c r="K9" s="5"/>
    </row>
    <row r="10" customHeight="1" spans="1:11">
      <c r="A10" s="6" t="s">
        <v>55</v>
      </c>
      <c r="B10" s="5" t="s">
        <v>229</v>
      </c>
      <c r="C10" s="5"/>
      <c r="D10" s="6" t="s">
        <v>220</v>
      </c>
      <c r="E10" s="6" t="s">
        <v>227</v>
      </c>
      <c r="F10" s="6" t="s">
        <v>230</v>
      </c>
      <c r="G10" s="6" t="s">
        <v>222</v>
      </c>
      <c r="H10" s="6" t="s">
        <v>223</v>
      </c>
      <c r="I10" s="6" t="s">
        <v>224</v>
      </c>
      <c r="J10" s="6" t="s">
        <v>225</v>
      </c>
      <c r="K10" s="5"/>
    </row>
    <row r="11" customHeight="1" spans="1:11">
      <c r="A11" s="6" t="s">
        <v>57</v>
      </c>
      <c r="B11" s="5" t="s">
        <v>231</v>
      </c>
      <c r="C11" s="5"/>
      <c r="D11" s="6" t="s">
        <v>220</v>
      </c>
      <c r="E11" s="6" t="s">
        <v>227</v>
      </c>
      <c r="F11" s="6" t="s">
        <v>221</v>
      </c>
      <c r="G11" s="6" t="s">
        <v>222</v>
      </c>
      <c r="H11" s="6" t="s">
        <v>223</v>
      </c>
      <c r="I11" s="6" t="s">
        <v>224</v>
      </c>
      <c r="J11" s="6" t="s">
        <v>225</v>
      </c>
      <c r="K11" s="5"/>
    </row>
    <row r="12" customHeight="1" spans="1:11">
      <c r="A12" s="6" t="s">
        <v>59</v>
      </c>
      <c r="B12" s="5" t="s">
        <v>232</v>
      </c>
      <c r="C12" s="5"/>
      <c r="D12" s="6" t="s">
        <v>220</v>
      </c>
      <c r="E12" s="6" t="s">
        <v>55</v>
      </c>
      <c r="F12" s="6" t="s">
        <v>233</v>
      </c>
      <c r="G12" s="6" t="s">
        <v>222</v>
      </c>
      <c r="H12" s="6" t="s">
        <v>223</v>
      </c>
      <c r="I12" s="6" t="s">
        <v>224</v>
      </c>
      <c r="J12" s="6" t="s">
        <v>225</v>
      </c>
      <c r="K12" s="5"/>
    </row>
    <row r="13" customHeight="1" spans="1:11">
      <c r="A13" s="6" t="s">
        <v>227</v>
      </c>
      <c r="B13" s="5" t="s">
        <v>234</v>
      </c>
      <c r="C13" s="5"/>
      <c r="D13" s="6" t="s">
        <v>220</v>
      </c>
      <c r="E13" s="6" t="s">
        <v>227</v>
      </c>
      <c r="F13" s="6" t="s">
        <v>228</v>
      </c>
      <c r="G13" s="6" t="s">
        <v>222</v>
      </c>
      <c r="H13" s="6" t="s">
        <v>223</v>
      </c>
      <c r="I13" s="6" t="s">
        <v>224</v>
      </c>
      <c r="J13" s="6" t="s">
        <v>225</v>
      </c>
      <c r="K13" s="5"/>
    </row>
    <row r="14" customHeight="1" spans="1:11">
      <c r="A14" s="6" t="s">
        <v>223</v>
      </c>
      <c r="B14" s="5" t="s">
        <v>235</v>
      </c>
      <c r="C14" s="5"/>
      <c r="D14" s="6" t="s">
        <v>220</v>
      </c>
      <c r="E14" s="6" t="s">
        <v>223</v>
      </c>
      <c r="F14" s="6" t="s">
        <v>236</v>
      </c>
      <c r="G14" s="6" t="s">
        <v>222</v>
      </c>
      <c r="H14" s="6" t="s">
        <v>223</v>
      </c>
      <c r="I14" s="6" t="s">
        <v>224</v>
      </c>
      <c r="J14" s="6" t="s">
        <v>225</v>
      </c>
      <c r="K14" s="5"/>
    </row>
    <row r="15" customHeight="1" spans="1:11">
      <c r="A15" s="6" t="s">
        <v>237</v>
      </c>
      <c r="B15" s="5" t="s">
        <v>238</v>
      </c>
      <c r="C15" s="5"/>
      <c r="D15" s="6" t="s">
        <v>220</v>
      </c>
      <c r="E15" s="6" t="s">
        <v>53</v>
      </c>
      <c r="F15" s="6" t="s">
        <v>224</v>
      </c>
      <c r="G15" s="6" t="s">
        <v>224</v>
      </c>
      <c r="H15" s="6" t="s">
        <v>224</v>
      </c>
      <c r="I15" s="6" t="s">
        <v>224</v>
      </c>
      <c r="J15" s="6" t="s">
        <v>224</v>
      </c>
      <c r="K15" s="5"/>
    </row>
    <row r="16" customHeight="1" spans="1:11">
      <c r="A16" s="6" t="s">
        <v>225</v>
      </c>
      <c r="B16" s="5" t="s">
        <v>239</v>
      </c>
      <c r="C16" s="5"/>
      <c r="D16" s="6" t="s">
        <v>59</v>
      </c>
      <c r="E16" s="6" t="s">
        <v>57</v>
      </c>
      <c r="F16" s="6" t="s">
        <v>240</v>
      </c>
      <c r="G16" s="6" t="s">
        <v>222</v>
      </c>
      <c r="H16" s="6" t="s">
        <v>223</v>
      </c>
      <c r="I16" s="6" t="s">
        <v>224</v>
      </c>
      <c r="J16" s="6" t="s">
        <v>225</v>
      </c>
      <c r="K16" s="5"/>
    </row>
    <row r="17" customHeight="1" spans="1:11">
      <c r="A17" s="6" t="s">
        <v>241</v>
      </c>
      <c r="B17" s="5" t="s">
        <v>242</v>
      </c>
      <c r="C17" s="5"/>
      <c r="D17" s="6" t="s">
        <v>220</v>
      </c>
      <c r="E17" s="6" t="s">
        <v>59</v>
      </c>
      <c r="F17" s="6" t="s">
        <v>243</v>
      </c>
      <c r="G17" s="6" t="s">
        <v>222</v>
      </c>
      <c r="H17" s="6" t="s">
        <v>223</v>
      </c>
      <c r="I17" s="6" t="s">
        <v>224</v>
      </c>
      <c r="J17" s="6" t="s">
        <v>225</v>
      </c>
      <c r="K17" s="5"/>
    </row>
    <row r="18" customHeight="1" spans="1:11">
      <c r="A18" s="6" t="s">
        <v>244</v>
      </c>
      <c r="B18" s="5" t="s">
        <v>245</v>
      </c>
      <c r="C18" s="5"/>
      <c r="D18" s="6" t="s">
        <v>220</v>
      </c>
      <c r="E18" s="6" t="s">
        <v>59</v>
      </c>
      <c r="F18" s="6" t="s">
        <v>246</v>
      </c>
      <c r="G18" s="6" t="s">
        <v>222</v>
      </c>
      <c r="H18" s="6" t="s">
        <v>223</v>
      </c>
      <c r="I18" s="6" t="s">
        <v>224</v>
      </c>
      <c r="J18" s="6" t="s">
        <v>225</v>
      </c>
      <c r="K18" s="5"/>
    </row>
    <row r="19" customHeight="1" spans="1:11">
      <c r="A19" s="6" t="s">
        <v>247</v>
      </c>
      <c r="B19" s="5" t="s">
        <v>248</v>
      </c>
      <c r="C19" s="5"/>
      <c r="D19" s="6"/>
      <c r="E19" s="6"/>
      <c r="F19" s="6"/>
      <c r="G19" s="6"/>
      <c r="H19" s="6"/>
      <c r="I19" s="6"/>
      <c r="J19" s="6"/>
      <c r="K19" s="5"/>
    </row>
    <row r="20" customHeight="1" spans="1:11">
      <c r="A20" s="6" t="s">
        <v>51</v>
      </c>
      <c r="B20" s="5" t="s">
        <v>248</v>
      </c>
      <c r="C20" s="5"/>
      <c r="D20" s="6" t="s">
        <v>249</v>
      </c>
      <c r="E20" s="6" t="s">
        <v>250</v>
      </c>
      <c r="F20" s="6" t="s">
        <v>251</v>
      </c>
      <c r="G20" s="6" t="s">
        <v>222</v>
      </c>
      <c r="H20" s="6" t="s">
        <v>223</v>
      </c>
      <c r="I20" s="6" t="s">
        <v>224</v>
      </c>
      <c r="J20" s="6" t="s">
        <v>225</v>
      </c>
      <c r="K20" s="5"/>
    </row>
    <row r="21" customHeight="1" spans="1:11">
      <c r="A21" s="6"/>
      <c r="B21" s="5"/>
      <c r="C21" s="5"/>
      <c r="D21" s="6"/>
      <c r="E21" s="6"/>
      <c r="F21" s="6"/>
      <c r="G21" s="6"/>
      <c r="H21" s="6"/>
      <c r="I21" s="6"/>
      <c r="J21" s="6"/>
      <c r="K21" s="5"/>
    </row>
    <row r="22" customHeight="1" spans="1:11">
      <c r="A22" s="6"/>
      <c r="B22" s="5"/>
      <c r="C22" s="5"/>
      <c r="D22" s="6"/>
      <c r="E22" s="6"/>
      <c r="F22" s="6"/>
      <c r="G22" s="6"/>
      <c r="H22" s="6"/>
      <c r="I22" s="6"/>
      <c r="J22" s="6"/>
      <c r="K22" s="5"/>
    </row>
    <row r="23" customHeight="1" spans="1:11">
      <c r="A23" s="6"/>
      <c r="B23" s="5"/>
      <c r="C23" s="5"/>
      <c r="D23" s="6"/>
      <c r="E23" s="6"/>
      <c r="F23" s="6"/>
      <c r="G23" s="6"/>
      <c r="H23" s="6"/>
      <c r="I23" s="6"/>
      <c r="J23" s="6"/>
      <c r="K23" s="5"/>
    </row>
    <row r="24" customHeight="1" spans="1:11">
      <c r="A24" s="6"/>
      <c r="B24" s="5"/>
      <c r="C24" s="5"/>
      <c r="D24" s="6"/>
      <c r="E24" s="6"/>
      <c r="F24" s="6"/>
      <c r="G24" s="6"/>
      <c r="H24" s="6"/>
      <c r="I24" s="6"/>
      <c r="J24" s="6"/>
      <c r="K24" s="5"/>
    </row>
    <row r="25" customHeight="1" spans="1:11">
      <c r="A25" s="6"/>
      <c r="B25" s="5"/>
      <c r="C25" s="5"/>
      <c r="D25" s="6"/>
      <c r="E25" s="6"/>
      <c r="F25" s="6"/>
      <c r="G25" s="6"/>
      <c r="H25" s="6"/>
      <c r="I25" s="6"/>
      <c r="J25" s="6"/>
      <c r="K25" s="5"/>
    </row>
    <row r="26" customHeight="1" spans="1:11">
      <c r="A26" s="6"/>
      <c r="B26" s="5"/>
      <c r="C26" s="5"/>
      <c r="D26" s="6"/>
      <c r="E26" s="6"/>
      <c r="F26" s="6"/>
      <c r="G26" s="6"/>
      <c r="H26" s="6"/>
      <c r="I26" s="6"/>
      <c r="J26" s="6"/>
      <c r="K26" s="5"/>
    </row>
    <row r="27" customHeight="1" spans="1:11">
      <c r="A27" s="6"/>
      <c r="B27" s="5"/>
      <c r="C27" s="5"/>
      <c r="D27" s="6"/>
      <c r="E27" s="6"/>
      <c r="F27" s="6"/>
      <c r="G27" s="6"/>
      <c r="H27" s="6"/>
      <c r="I27" s="6"/>
      <c r="J27" s="6"/>
      <c r="K27" s="5"/>
    </row>
    <row r="28" customHeight="1" spans="1:11">
      <c r="A28" s="6"/>
      <c r="B28" s="5"/>
      <c r="C28" s="5"/>
      <c r="D28" s="6"/>
      <c r="E28" s="6"/>
      <c r="F28" s="6"/>
      <c r="G28" s="6"/>
      <c r="H28" s="6"/>
      <c r="I28" s="6"/>
      <c r="J28" s="6"/>
      <c r="K28" s="5"/>
    </row>
    <row r="29" customHeight="1" spans="1:11">
      <c r="A29" s="6"/>
      <c r="B29" s="5"/>
      <c r="C29" s="5"/>
      <c r="D29" s="6"/>
      <c r="E29" s="6"/>
      <c r="F29" s="6"/>
      <c r="G29" s="6"/>
      <c r="H29" s="6"/>
      <c r="I29" s="6"/>
      <c r="J29" s="6"/>
      <c r="K29" s="5"/>
    </row>
    <row r="30" customHeight="1" spans="1:11">
      <c r="A30" s="6"/>
      <c r="B30" s="5"/>
      <c r="C30" s="5"/>
      <c r="D30" s="6"/>
      <c r="E30" s="6"/>
      <c r="F30" s="6"/>
      <c r="G30" s="6"/>
      <c r="H30" s="6"/>
      <c r="I30" s="6"/>
      <c r="J30" s="6"/>
      <c r="K30" s="5"/>
    </row>
    <row r="31" customHeight="1" spans="1:11">
      <c r="A31" s="6"/>
      <c r="B31" s="5"/>
      <c r="C31" s="5"/>
      <c r="D31" s="6"/>
      <c r="E31" s="6"/>
      <c r="F31" s="6"/>
      <c r="G31" s="6"/>
      <c r="H31" s="6"/>
      <c r="I31" s="6"/>
      <c r="J31" s="6"/>
      <c r="K31" s="5"/>
    </row>
    <row r="32" customHeight="1" spans="1:11">
      <c r="A32" s="6"/>
      <c r="B32" s="5"/>
      <c r="C32" s="5"/>
      <c r="D32" s="6"/>
      <c r="E32" s="6"/>
      <c r="F32" s="6"/>
      <c r="G32" s="6"/>
      <c r="H32" s="6"/>
      <c r="I32" s="6"/>
      <c r="J32" s="6"/>
      <c r="K32" s="5"/>
    </row>
    <row r="33" customHeight="1" spans="1:11">
      <c r="A33" s="6"/>
      <c r="B33" s="5"/>
      <c r="C33" s="5"/>
      <c r="D33" s="6"/>
      <c r="E33" s="6"/>
      <c r="F33" s="6"/>
      <c r="G33" s="6"/>
      <c r="H33" s="6"/>
      <c r="I33" s="6"/>
      <c r="J33" s="6"/>
      <c r="K33" s="5"/>
    </row>
    <row r="34" customHeight="1" spans="1:11">
      <c r="A34" s="6"/>
      <c r="B34" s="5"/>
      <c r="C34" s="5"/>
      <c r="D34" s="6"/>
      <c r="E34" s="6"/>
      <c r="F34" s="6"/>
      <c r="G34" s="6"/>
      <c r="H34" s="6"/>
      <c r="I34" s="6"/>
      <c r="J34" s="6"/>
      <c r="K34" s="5"/>
    </row>
    <row r="35" customHeight="1" spans="1:11">
      <c r="A35" s="6"/>
      <c r="B35" s="5"/>
      <c r="C35" s="5"/>
      <c r="D35" s="6"/>
      <c r="E35" s="6"/>
      <c r="F35" s="6"/>
      <c r="G35" s="6"/>
      <c r="H35" s="6"/>
      <c r="I35" s="6"/>
      <c r="J35" s="6"/>
      <c r="K35" s="5"/>
    </row>
    <row r="36" customHeight="1" spans="1:11">
      <c r="A36" s="6"/>
      <c r="B36" s="5"/>
      <c r="C36" s="5"/>
      <c r="D36" s="6"/>
      <c r="E36" s="6"/>
      <c r="F36" s="6"/>
      <c r="G36" s="6"/>
      <c r="H36" s="6"/>
      <c r="I36" s="6"/>
      <c r="J36" s="6"/>
      <c r="K36" s="5"/>
    </row>
  </sheetData>
  <mergeCells count="40">
    <mergeCell ref="A2:K2"/>
    <mergeCell ref="A3:B3"/>
    <mergeCell ref="C3:K3"/>
    <mergeCell ref="A4:B4"/>
    <mergeCell ref="C4:I4"/>
    <mergeCell ref="J4:K4"/>
    <mergeCell ref="D5:J5"/>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A5:A6"/>
    <mergeCell ref="K5:K6"/>
    <mergeCell ref="B5:C6"/>
  </mergeCells>
  <pageMargins left="0.90551" right="0" top="0.70866" bottom="0" header="0.55118" footer="0.3937"/>
  <pageSetup paperSize="9" firstPageNumber="11" pageOrder="overThenDown" orientation="portrait" useFirstPageNumber="1" horizontalDpi="300" verticalDpi="300"/>
  <headerFooter alignWithMargins="0" scaleWithDoc="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L37"/>
  <sheetViews>
    <sheetView zoomScaleSheetLayoutView="60" workbookViewId="0">
      <selection activeCell="A1" sqref="A1"/>
    </sheetView>
  </sheetViews>
  <sheetFormatPr defaultColWidth="11" defaultRowHeight="18.75" customHeight="1"/>
  <cols>
    <col min="1" max="2" width="4.375" style="1" customWidth="1"/>
    <col min="3" max="3" width="8" style="1" customWidth="1"/>
    <col min="4" max="4" width="7" style="1" customWidth="1"/>
    <col min="5" max="5" width="4" style="1" customWidth="1"/>
    <col min="6" max="6" width="5" style="1" customWidth="1"/>
    <col min="7" max="11" width="7.5" style="1" customWidth="1"/>
    <col min="12" max="12" width="7.875" style="1" customWidth="1"/>
    <col min="13" max="13" width="9.625" style="1" customWidth="1"/>
    <col min="14" max="16384" width="11" style="1"/>
  </cols>
  <sheetData>
    <row r="1" ht="7.5" customHeight="1" spans="1:12">
      <c r="A1" s="3"/>
      <c r="B1" s="3"/>
      <c r="C1" s="3"/>
      <c r="D1" s="3"/>
      <c r="E1" s="3"/>
      <c r="F1" s="3"/>
      <c r="G1" s="3"/>
      <c r="H1" s="3"/>
      <c r="I1" s="3"/>
      <c r="J1" s="3"/>
      <c r="K1" s="3"/>
      <c r="L1" s="3"/>
    </row>
    <row r="2" ht="26.25" customHeight="1" spans="1:12">
      <c r="A2" s="2" t="s">
        <v>252</v>
      </c>
      <c r="B2" s="2"/>
      <c r="C2" s="2"/>
      <c r="D2" s="2"/>
      <c r="E2" s="2"/>
      <c r="F2" s="2"/>
      <c r="G2" s="2"/>
      <c r="H2" s="2"/>
      <c r="I2" s="2"/>
      <c r="J2" s="2"/>
      <c r="K2" s="2"/>
      <c r="L2" s="2"/>
    </row>
    <row r="3" customHeight="1" spans="1:12">
      <c r="A3" s="8" t="s">
        <v>46</v>
      </c>
      <c r="B3" s="8"/>
      <c r="C3" s="3"/>
      <c r="D3" s="3"/>
      <c r="E3" s="3"/>
      <c r="F3" s="3"/>
      <c r="G3" s="3"/>
      <c r="H3" s="3"/>
      <c r="I3" s="3"/>
      <c r="J3" s="3"/>
      <c r="K3" s="3"/>
      <c r="L3" s="3"/>
    </row>
    <row r="4" customHeight="1" spans="1:12">
      <c r="A4" s="8" t="s">
        <v>47</v>
      </c>
      <c r="B4" s="8"/>
      <c r="C4" s="10" t="s">
        <v>0</v>
      </c>
      <c r="D4" s="10"/>
      <c r="E4" s="10"/>
      <c r="F4" s="10"/>
      <c r="G4" s="10"/>
      <c r="H4" s="10"/>
      <c r="I4" s="10"/>
      <c r="J4" s="10"/>
      <c r="K4" s="16" t="s">
        <v>28</v>
      </c>
      <c r="L4" s="16"/>
    </row>
    <row r="5" customHeight="1" spans="1:12">
      <c r="A5" s="3" t="s">
        <v>253</v>
      </c>
      <c r="B5" s="3"/>
      <c r="C5" s="3"/>
      <c r="D5" s="3"/>
      <c r="E5" s="3"/>
      <c r="F5" s="3"/>
      <c r="G5" s="3"/>
      <c r="H5" s="3"/>
      <c r="I5" s="3"/>
      <c r="J5" s="3"/>
      <c r="K5" s="3"/>
      <c r="L5" s="3"/>
    </row>
    <row r="6" ht="26.25" customHeight="1" spans="1:12">
      <c r="A6" s="6" t="s">
        <v>48</v>
      </c>
      <c r="B6" s="6" t="s">
        <v>254</v>
      </c>
      <c r="C6" s="6"/>
      <c r="D6" s="6" t="s">
        <v>255</v>
      </c>
      <c r="E6" s="6"/>
      <c r="F6" s="6" t="s">
        <v>66</v>
      </c>
      <c r="G6" s="6" t="s">
        <v>199</v>
      </c>
      <c r="H6" s="6" t="s">
        <v>200</v>
      </c>
      <c r="I6" s="6" t="s">
        <v>201</v>
      </c>
      <c r="J6" s="6" t="s">
        <v>256</v>
      </c>
      <c r="K6" s="6" t="s">
        <v>61</v>
      </c>
      <c r="L6" s="6" t="s">
        <v>71</v>
      </c>
    </row>
    <row r="7" customHeight="1" spans="1:12">
      <c r="A7" s="6" t="s">
        <v>51</v>
      </c>
      <c r="B7" s="5" t="s">
        <v>257</v>
      </c>
      <c r="C7" s="5"/>
      <c r="D7" s="5"/>
      <c r="E7" s="5"/>
      <c r="F7" s="6" t="s">
        <v>258</v>
      </c>
      <c r="G7" s="7"/>
      <c r="H7" s="7"/>
      <c r="I7" s="7"/>
      <c r="J7" s="7"/>
      <c r="K7" s="15">
        <v>0.73</v>
      </c>
      <c r="L7" s="5"/>
    </row>
    <row r="8" customHeight="1" spans="1:12">
      <c r="A8" s="6" t="s">
        <v>53</v>
      </c>
      <c r="B8" s="5" t="s">
        <v>259</v>
      </c>
      <c r="C8" s="5"/>
      <c r="D8" s="5"/>
      <c r="E8" s="5"/>
      <c r="F8" s="6" t="s">
        <v>82</v>
      </c>
      <c r="G8" s="7"/>
      <c r="H8" s="7"/>
      <c r="I8" s="7"/>
      <c r="J8" s="7"/>
      <c r="K8" s="15">
        <v>3.84</v>
      </c>
      <c r="L8" s="5"/>
    </row>
    <row r="9" customHeight="1" spans="1:12">
      <c r="A9" s="6" t="s">
        <v>55</v>
      </c>
      <c r="B9" s="5" t="s">
        <v>260</v>
      </c>
      <c r="C9" s="5"/>
      <c r="D9" s="5"/>
      <c r="E9" s="5"/>
      <c r="F9" s="6" t="s">
        <v>82</v>
      </c>
      <c r="G9" s="7"/>
      <c r="H9" s="7"/>
      <c r="I9" s="7"/>
      <c r="J9" s="7"/>
      <c r="K9" s="15">
        <v>0.15</v>
      </c>
      <c r="L9" s="5"/>
    </row>
    <row r="10" customHeight="1" spans="1:12">
      <c r="A10" s="6"/>
      <c r="B10" s="5"/>
      <c r="C10" s="5"/>
      <c r="D10" s="5"/>
      <c r="E10" s="5"/>
      <c r="F10" s="6"/>
      <c r="G10" s="7"/>
      <c r="H10" s="7"/>
      <c r="I10" s="7"/>
      <c r="J10" s="7"/>
      <c r="K10" s="7"/>
      <c r="L10" s="5"/>
    </row>
    <row r="11" customHeight="1" spans="1:12">
      <c r="A11" s="6"/>
      <c r="B11" s="5"/>
      <c r="C11" s="5"/>
      <c r="D11" s="5"/>
      <c r="E11" s="5"/>
      <c r="F11" s="6"/>
      <c r="G11" s="7"/>
      <c r="H11" s="7"/>
      <c r="I11" s="7"/>
      <c r="J11" s="7"/>
      <c r="K11" s="7"/>
      <c r="L11" s="5"/>
    </row>
    <row r="12" customHeight="1" spans="1:12">
      <c r="A12" s="6"/>
      <c r="B12" s="5"/>
      <c r="C12" s="5"/>
      <c r="D12" s="5"/>
      <c r="E12" s="5"/>
      <c r="F12" s="6"/>
      <c r="G12" s="7"/>
      <c r="H12" s="7"/>
      <c r="I12" s="7"/>
      <c r="J12" s="7"/>
      <c r="K12" s="7"/>
      <c r="L12" s="5"/>
    </row>
    <row r="13" customHeight="1" spans="1:12">
      <c r="A13" s="6"/>
      <c r="B13" s="5"/>
      <c r="C13" s="5"/>
      <c r="D13" s="5"/>
      <c r="E13" s="5"/>
      <c r="F13" s="6"/>
      <c r="G13" s="7"/>
      <c r="H13" s="7"/>
      <c r="I13" s="7"/>
      <c r="J13" s="7"/>
      <c r="K13" s="7"/>
      <c r="L13" s="5"/>
    </row>
    <row r="14" customHeight="1" spans="1:12">
      <c r="A14" s="6"/>
      <c r="B14" s="5"/>
      <c r="C14" s="5"/>
      <c r="D14" s="5"/>
      <c r="E14" s="5"/>
      <c r="F14" s="6"/>
      <c r="G14" s="7"/>
      <c r="H14" s="7"/>
      <c r="I14" s="7"/>
      <c r="J14" s="7"/>
      <c r="K14" s="7"/>
      <c r="L14" s="5"/>
    </row>
    <row r="15" customHeight="1" spans="1:12">
      <c r="A15" s="6"/>
      <c r="B15" s="5"/>
      <c r="C15" s="5"/>
      <c r="D15" s="5"/>
      <c r="E15" s="5"/>
      <c r="F15" s="6"/>
      <c r="G15" s="7"/>
      <c r="H15" s="7"/>
      <c r="I15" s="7"/>
      <c r="J15" s="7"/>
      <c r="K15" s="7"/>
      <c r="L15" s="5"/>
    </row>
    <row r="16" customHeight="1" spans="1:12">
      <c r="A16" s="6"/>
      <c r="B16" s="5"/>
      <c r="C16" s="5"/>
      <c r="D16" s="5"/>
      <c r="E16" s="5"/>
      <c r="F16" s="6"/>
      <c r="G16" s="7"/>
      <c r="H16" s="7"/>
      <c r="I16" s="7"/>
      <c r="J16" s="7"/>
      <c r="K16" s="7"/>
      <c r="L16" s="5"/>
    </row>
    <row r="17" customHeight="1" spans="1:12">
      <c r="A17" s="6"/>
      <c r="B17" s="5"/>
      <c r="C17" s="5"/>
      <c r="D17" s="5"/>
      <c r="E17" s="5"/>
      <c r="F17" s="6"/>
      <c r="G17" s="7"/>
      <c r="H17" s="7"/>
      <c r="I17" s="7"/>
      <c r="J17" s="7"/>
      <c r="K17" s="7"/>
      <c r="L17" s="5"/>
    </row>
    <row r="18" customHeight="1" spans="1:12">
      <c r="A18" s="6"/>
      <c r="B18" s="5"/>
      <c r="C18" s="5"/>
      <c r="D18" s="5"/>
      <c r="E18" s="5"/>
      <c r="F18" s="6"/>
      <c r="G18" s="7"/>
      <c r="H18" s="7"/>
      <c r="I18" s="7"/>
      <c r="J18" s="7"/>
      <c r="K18" s="7"/>
      <c r="L18" s="5"/>
    </row>
    <row r="19" customHeight="1" spans="1:12">
      <c r="A19" s="6"/>
      <c r="B19" s="5"/>
      <c r="C19" s="5"/>
      <c r="D19" s="5"/>
      <c r="E19" s="5"/>
      <c r="F19" s="6"/>
      <c r="G19" s="7"/>
      <c r="H19" s="7"/>
      <c r="I19" s="7"/>
      <c r="J19" s="7"/>
      <c r="K19" s="7"/>
      <c r="L19" s="5"/>
    </row>
    <row r="20" customHeight="1" spans="1:12">
      <c r="A20" s="6"/>
      <c r="B20" s="5"/>
      <c r="C20" s="5"/>
      <c r="D20" s="5"/>
      <c r="E20" s="5"/>
      <c r="F20" s="6"/>
      <c r="G20" s="7"/>
      <c r="H20" s="7"/>
      <c r="I20" s="7"/>
      <c r="J20" s="7"/>
      <c r="K20" s="7"/>
      <c r="L20" s="5"/>
    </row>
    <row r="21" customHeight="1" spans="1:12">
      <c r="A21" s="6"/>
      <c r="B21" s="5"/>
      <c r="C21" s="5"/>
      <c r="D21" s="5"/>
      <c r="E21" s="5"/>
      <c r="F21" s="6"/>
      <c r="G21" s="7"/>
      <c r="H21" s="7"/>
      <c r="I21" s="7"/>
      <c r="J21" s="7"/>
      <c r="K21" s="7"/>
      <c r="L21" s="5"/>
    </row>
    <row r="22" customHeight="1" spans="1:12">
      <c r="A22" s="6"/>
      <c r="B22" s="5"/>
      <c r="C22" s="5"/>
      <c r="D22" s="5"/>
      <c r="E22" s="5"/>
      <c r="F22" s="6"/>
      <c r="G22" s="7"/>
      <c r="H22" s="7"/>
      <c r="I22" s="7"/>
      <c r="J22" s="7"/>
      <c r="K22" s="7"/>
      <c r="L22" s="5"/>
    </row>
    <row r="23" customHeight="1" spans="1:12">
      <c r="A23" s="6"/>
      <c r="B23" s="5"/>
      <c r="C23" s="5"/>
      <c r="D23" s="5"/>
      <c r="E23" s="5"/>
      <c r="F23" s="6"/>
      <c r="G23" s="7"/>
      <c r="H23" s="7"/>
      <c r="I23" s="7"/>
      <c r="J23" s="7"/>
      <c r="K23" s="7"/>
      <c r="L23" s="5"/>
    </row>
    <row r="24" customHeight="1" spans="1:12">
      <c r="A24" s="6"/>
      <c r="B24" s="5"/>
      <c r="C24" s="5"/>
      <c r="D24" s="5"/>
      <c r="E24" s="5"/>
      <c r="F24" s="6"/>
      <c r="G24" s="7"/>
      <c r="H24" s="7"/>
      <c r="I24" s="7"/>
      <c r="J24" s="7"/>
      <c r="K24" s="7"/>
      <c r="L24" s="5"/>
    </row>
    <row r="25" customHeight="1" spans="1:12">
      <c r="A25" s="6"/>
      <c r="B25" s="5"/>
      <c r="C25" s="5"/>
      <c r="D25" s="5"/>
      <c r="E25" s="5"/>
      <c r="F25" s="6"/>
      <c r="G25" s="7"/>
      <c r="H25" s="7"/>
      <c r="I25" s="7"/>
      <c r="J25" s="7"/>
      <c r="K25" s="7"/>
      <c r="L25" s="5"/>
    </row>
    <row r="26" customHeight="1" spans="1:12">
      <c r="A26" s="6"/>
      <c r="B26" s="5"/>
      <c r="C26" s="5"/>
      <c r="D26" s="5"/>
      <c r="E26" s="5"/>
      <c r="F26" s="6"/>
      <c r="G26" s="7"/>
      <c r="H26" s="7"/>
      <c r="I26" s="7"/>
      <c r="J26" s="7"/>
      <c r="K26" s="7"/>
      <c r="L26" s="5"/>
    </row>
    <row r="27" customHeight="1" spans="1:12">
      <c r="A27" s="6"/>
      <c r="B27" s="5"/>
      <c r="C27" s="5"/>
      <c r="D27" s="5"/>
      <c r="E27" s="5"/>
      <c r="F27" s="6"/>
      <c r="G27" s="7"/>
      <c r="H27" s="7"/>
      <c r="I27" s="7"/>
      <c r="J27" s="7"/>
      <c r="K27" s="7"/>
      <c r="L27" s="5"/>
    </row>
    <row r="28" customHeight="1" spans="1:12">
      <c r="A28" s="6"/>
      <c r="B28" s="5"/>
      <c r="C28" s="5"/>
      <c r="D28" s="5"/>
      <c r="E28" s="5"/>
      <c r="F28" s="6"/>
      <c r="G28" s="7"/>
      <c r="H28" s="7"/>
      <c r="I28" s="7"/>
      <c r="J28" s="7"/>
      <c r="K28" s="7"/>
      <c r="L28" s="5"/>
    </row>
    <row r="29" customHeight="1" spans="1:12">
      <c r="A29" s="6"/>
      <c r="B29" s="5"/>
      <c r="C29" s="5"/>
      <c r="D29" s="5"/>
      <c r="E29" s="5"/>
      <c r="F29" s="6"/>
      <c r="G29" s="7"/>
      <c r="H29" s="7"/>
      <c r="I29" s="7"/>
      <c r="J29" s="7"/>
      <c r="K29" s="7"/>
      <c r="L29" s="5"/>
    </row>
    <row r="30" customHeight="1" spans="1:12">
      <c r="A30" s="6"/>
      <c r="B30" s="5"/>
      <c r="C30" s="5"/>
      <c r="D30" s="5"/>
      <c r="E30" s="5"/>
      <c r="F30" s="6"/>
      <c r="G30" s="7"/>
      <c r="H30" s="7"/>
      <c r="I30" s="7"/>
      <c r="J30" s="7"/>
      <c r="K30" s="7"/>
      <c r="L30" s="5"/>
    </row>
    <row r="31" customHeight="1" spans="1:12">
      <c r="A31" s="6"/>
      <c r="B31" s="5"/>
      <c r="C31" s="5"/>
      <c r="D31" s="5"/>
      <c r="E31" s="5"/>
      <c r="F31" s="6"/>
      <c r="G31" s="7"/>
      <c r="H31" s="7"/>
      <c r="I31" s="7"/>
      <c r="J31" s="7"/>
      <c r="K31" s="7"/>
      <c r="L31" s="5"/>
    </row>
    <row r="32" customHeight="1" spans="1:12">
      <c r="A32" s="6"/>
      <c r="B32" s="5"/>
      <c r="C32" s="5"/>
      <c r="D32" s="5"/>
      <c r="E32" s="5"/>
      <c r="F32" s="6"/>
      <c r="G32" s="7"/>
      <c r="H32" s="7"/>
      <c r="I32" s="7"/>
      <c r="J32" s="7"/>
      <c r="K32" s="7"/>
      <c r="L32" s="5"/>
    </row>
    <row r="33" customHeight="1" spans="1:12">
      <c r="A33" s="6"/>
      <c r="B33" s="5"/>
      <c r="C33" s="5"/>
      <c r="D33" s="5"/>
      <c r="E33" s="5"/>
      <c r="F33" s="6"/>
      <c r="G33" s="7"/>
      <c r="H33" s="7"/>
      <c r="I33" s="7"/>
      <c r="J33" s="7"/>
      <c r="K33" s="7"/>
      <c r="L33" s="5"/>
    </row>
    <row r="34" customHeight="1" spans="1:12">
      <c r="A34" s="6"/>
      <c r="B34" s="5"/>
      <c r="C34" s="5"/>
      <c r="D34" s="5"/>
      <c r="E34" s="5"/>
      <c r="F34" s="6"/>
      <c r="G34" s="7"/>
      <c r="H34" s="7"/>
      <c r="I34" s="7"/>
      <c r="J34" s="7"/>
      <c r="K34" s="7"/>
      <c r="L34" s="5"/>
    </row>
    <row r="35" customHeight="1" spans="1:12">
      <c r="A35" s="6"/>
      <c r="B35" s="5"/>
      <c r="C35" s="5"/>
      <c r="D35" s="5"/>
      <c r="E35" s="5"/>
      <c r="F35" s="6"/>
      <c r="G35" s="7"/>
      <c r="H35" s="7"/>
      <c r="I35" s="7"/>
      <c r="J35" s="7"/>
      <c r="K35" s="7"/>
      <c r="L35" s="5"/>
    </row>
    <row r="36" customHeight="1" spans="1:12">
      <c r="A36" s="6"/>
      <c r="B36" s="5"/>
      <c r="C36" s="5"/>
      <c r="D36" s="5"/>
      <c r="E36" s="5"/>
      <c r="F36" s="6"/>
      <c r="G36" s="7"/>
      <c r="H36" s="7"/>
      <c r="I36" s="7"/>
      <c r="J36" s="7"/>
      <c r="K36" s="7"/>
      <c r="L36" s="5"/>
    </row>
    <row r="37" customHeight="1" spans="1:12">
      <c r="A37" s="6"/>
      <c r="B37" s="5"/>
      <c r="C37" s="5"/>
      <c r="D37" s="5"/>
      <c r="E37" s="5"/>
      <c r="F37" s="6"/>
      <c r="G37" s="7"/>
      <c r="H37" s="7"/>
      <c r="I37" s="7"/>
      <c r="J37" s="7"/>
      <c r="K37" s="7"/>
      <c r="L37" s="5"/>
    </row>
  </sheetData>
  <mergeCells count="71">
    <mergeCell ref="A2:L2"/>
    <mergeCell ref="A3:B3"/>
    <mergeCell ref="C3:L3"/>
    <mergeCell ref="A4:B4"/>
    <mergeCell ref="C4:J4"/>
    <mergeCell ref="K4:L4"/>
    <mergeCell ref="A5:L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s>
  <pageMargins left="0.90551" right="0" top="0.70866" bottom="0" header="0.55118" footer="0.3937"/>
  <pageSetup paperSize="9" firstPageNumber="12" pageOrder="overThenDown" orientation="portrait" useFirstPageNumber="1" horizontalDpi="300" verticalDpi="300"/>
  <headerFooter alignWithMargins="0" scaleWithDoc="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zoomScaleSheetLayoutView="60" workbookViewId="0">
      <selection activeCell="A1" sqref="A1"/>
    </sheetView>
  </sheetViews>
  <sheetFormatPr defaultColWidth="11" defaultRowHeight="18.75" customHeight="1"/>
  <cols>
    <col min="1" max="1" width="5" style="1" customWidth="1"/>
    <col min="2" max="2" width="3.75" style="1" customWidth="1"/>
    <col min="3" max="3" width="6.875" style="1" customWidth="1"/>
    <col min="4" max="4" width="8.5" style="1" customWidth="1"/>
    <col min="5" max="5" width="7.625" style="1" customWidth="1"/>
    <col min="6" max="6" width="5.125" style="1" customWidth="1"/>
    <col min="7" max="7" width="6.25" style="1" customWidth="1"/>
    <col min="8" max="14" width="8.75" style="1" customWidth="1"/>
    <col min="15" max="15" width="11.25" style="1" customWidth="1"/>
    <col min="16" max="16" width="9.625" style="1" customWidth="1"/>
    <col min="17" max="16384" width="11" style="1"/>
  </cols>
  <sheetData>
    <row r="1" ht="7.5" customHeight="1" spans="1:15">
      <c r="A1" s="3"/>
      <c r="B1" s="3"/>
      <c r="C1" s="3"/>
      <c r="D1" s="3"/>
      <c r="E1" s="3"/>
      <c r="F1" s="3"/>
      <c r="G1" s="3"/>
      <c r="H1" s="3"/>
      <c r="I1" s="3"/>
      <c r="J1" s="3"/>
      <c r="K1" s="3"/>
      <c r="L1" s="3"/>
      <c r="M1" s="3"/>
      <c r="N1" s="3"/>
      <c r="O1" s="3"/>
    </row>
    <row r="2" ht="26.25" customHeight="1" spans="1:15">
      <c r="A2" s="2" t="s">
        <v>261</v>
      </c>
      <c r="B2" s="2"/>
      <c r="C2" s="2"/>
      <c r="D2" s="2"/>
      <c r="E2" s="2"/>
      <c r="F2" s="2"/>
      <c r="G2" s="2"/>
      <c r="H2" s="2"/>
      <c r="I2" s="2"/>
      <c r="J2" s="2"/>
      <c r="K2" s="2"/>
      <c r="L2" s="2"/>
      <c r="M2" s="2"/>
      <c r="N2" s="2"/>
      <c r="O2" s="2"/>
    </row>
    <row r="3" customHeight="1" spans="1:15">
      <c r="A3" s="8" t="s">
        <v>46</v>
      </c>
      <c r="B3" s="8"/>
      <c r="C3" s="3"/>
      <c r="D3" s="3"/>
      <c r="E3" s="3"/>
      <c r="F3" s="3"/>
      <c r="G3" s="3"/>
      <c r="H3" s="3"/>
      <c r="I3" s="3"/>
      <c r="J3" s="3"/>
      <c r="K3" s="3"/>
      <c r="L3" s="3"/>
      <c r="M3" s="3"/>
      <c r="N3" s="3"/>
      <c r="O3" s="3"/>
    </row>
    <row r="4" customHeight="1" spans="1:15">
      <c r="A4" s="8" t="s">
        <v>47</v>
      </c>
      <c r="B4" s="8"/>
      <c r="C4" s="10" t="s">
        <v>0</v>
      </c>
      <c r="D4" s="10"/>
      <c r="E4" s="10"/>
      <c r="F4" s="10"/>
      <c r="G4" s="10"/>
      <c r="H4" s="10"/>
      <c r="I4" s="10"/>
      <c r="J4" s="10"/>
      <c r="K4" s="10"/>
      <c r="L4" s="10"/>
      <c r="M4" s="10"/>
      <c r="N4" s="16" t="s">
        <v>28</v>
      </c>
      <c r="O4" s="16"/>
    </row>
    <row r="5" customHeight="1" spans="1:15">
      <c r="A5" s="6" t="s">
        <v>48</v>
      </c>
      <c r="B5" s="6" t="s">
        <v>262</v>
      </c>
      <c r="C5" s="6"/>
      <c r="D5" s="6" t="s">
        <v>263</v>
      </c>
      <c r="E5" s="6" t="s">
        <v>264</v>
      </c>
      <c r="F5" s="6" t="s">
        <v>265</v>
      </c>
      <c r="G5" s="6" t="s">
        <v>266</v>
      </c>
      <c r="H5" s="6" t="s">
        <v>267</v>
      </c>
      <c r="I5" s="6"/>
      <c r="J5" s="6"/>
      <c r="K5" s="6"/>
      <c r="L5" s="6"/>
      <c r="M5" s="6"/>
      <c r="N5" s="6" t="s">
        <v>268</v>
      </c>
      <c r="O5" s="6" t="s">
        <v>71</v>
      </c>
    </row>
    <row r="6" ht="26.25" customHeight="1" spans="1:15">
      <c r="A6" s="6"/>
      <c r="B6" s="6"/>
      <c r="C6" s="6"/>
      <c r="D6" s="6"/>
      <c r="E6" s="6"/>
      <c r="F6" s="6"/>
      <c r="G6" s="6"/>
      <c r="H6" s="6" t="s">
        <v>269</v>
      </c>
      <c r="I6" s="6" t="s">
        <v>270</v>
      </c>
      <c r="J6" s="6" t="s">
        <v>271</v>
      </c>
      <c r="K6" s="6" t="s">
        <v>272</v>
      </c>
      <c r="L6" s="6"/>
      <c r="M6" s="6"/>
      <c r="N6" s="6"/>
      <c r="O6" s="6"/>
    </row>
    <row r="7" customHeight="1" spans="1:15">
      <c r="A7" s="6" t="s">
        <v>51</v>
      </c>
      <c r="B7" s="5"/>
      <c r="C7" s="5"/>
      <c r="D7" s="6" t="s">
        <v>273</v>
      </c>
      <c r="E7" s="6" t="s">
        <v>274</v>
      </c>
      <c r="F7" s="6" t="s">
        <v>53</v>
      </c>
      <c r="G7" s="6" t="s">
        <v>275</v>
      </c>
      <c r="H7" s="7" t="s">
        <v>276</v>
      </c>
      <c r="I7" s="7" t="s">
        <v>277</v>
      </c>
      <c r="J7" s="7" t="s">
        <v>278</v>
      </c>
      <c r="K7" s="7" t="s">
        <v>279</v>
      </c>
      <c r="L7" s="7"/>
      <c r="M7" s="7"/>
      <c r="N7" s="15">
        <f>ROUND(电、风、水、砂石基础单价汇总表!K8*0.165,2)+ROUND(374.68*0.001*287.1,2)+ROUND(89.5*0.8586,2)+ROUND(100.15*0.561,2)</f>
        <v>241.22</v>
      </c>
      <c r="O7" s="5"/>
    </row>
    <row r="8" customHeight="1" spans="1:15">
      <c r="A8" s="6"/>
      <c r="B8" s="5"/>
      <c r="C8" s="5"/>
      <c r="D8" s="6"/>
      <c r="E8" s="6"/>
      <c r="F8" s="6"/>
      <c r="G8" s="6"/>
      <c r="H8" s="7"/>
      <c r="I8" s="7"/>
      <c r="J8" s="7"/>
      <c r="K8" s="7"/>
      <c r="L8" s="7"/>
      <c r="M8" s="7"/>
      <c r="N8" s="7"/>
      <c r="O8" s="5"/>
    </row>
    <row r="9" customHeight="1" spans="1:15">
      <c r="A9" s="6"/>
      <c r="B9" s="5"/>
      <c r="C9" s="5"/>
      <c r="D9" s="6"/>
      <c r="E9" s="6"/>
      <c r="F9" s="6"/>
      <c r="G9" s="6"/>
      <c r="H9" s="7"/>
      <c r="I9" s="7"/>
      <c r="J9" s="7"/>
      <c r="K9" s="7"/>
      <c r="L9" s="7"/>
      <c r="M9" s="7"/>
      <c r="N9" s="7"/>
      <c r="O9" s="5"/>
    </row>
    <row r="10" customHeight="1" spans="1:15">
      <c r="A10" s="6"/>
      <c r="B10" s="5"/>
      <c r="C10" s="5"/>
      <c r="D10" s="6"/>
      <c r="E10" s="6"/>
      <c r="F10" s="6"/>
      <c r="G10" s="6"/>
      <c r="H10" s="7"/>
      <c r="I10" s="7"/>
      <c r="J10" s="7"/>
      <c r="K10" s="7"/>
      <c r="L10" s="7"/>
      <c r="M10" s="7"/>
      <c r="N10" s="7"/>
      <c r="O10" s="5"/>
    </row>
    <row r="11" customHeight="1" spans="1:15">
      <c r="A11" s="6"/>
      <c r="B11" s="5"/>
      <c r="C11" s="5"/>
      <c r="D11" s="6"/>
      <c r="E11" s="6"/>
      <c r="F11" s="6"/>
      <c r="G11" s="6"/>
      <c r="H11" s="7"/>
      <c r="I11" s="7"/>
      <c r="J11" s="7"/>
      <c r="K11" s="7"/>
      <c r="L11" s="7"/>
      <c r="M11" s="7"/>
      <c r="N11" s="7"/>
      <c r="O11" s="5"/>
    </row>
    <row r="12" customHeight="1" spans="1:15">
      <c r="A12" s="6"/>
      <c r="B12" s="5"/>
      <c r="C12" s="5"/>
      <c r="D12" s="6"/>
      <c r="E12" s="6"/>
      <c r="F12" s="6"/>
      <c r="G12" s="6"/>
      <c r="H12" s="7"/>
      <c r="I12" s="7"/>
      <c r="J12" s="7"/>
      <c r="K12" s="7"/>
      <c r="L12" s="7"/>
      <c r="M12" s="7"/>
      <c r="N12" s="7"/>
      <c r="O12" s="5"/>
    </row>
    <row r="13" customHeight="1" spans="1:15">
      <c r="A13" s="6"/>
      <c r="B13" s="5"/>
      <c r="C13" s="5"/>
      <c r="D13" s="6"/>
      <c r="E13" s="6"/>
      <c r="F13" s="6"/>
      <c r="G13" s="6"/>
      <c r="H13" s="7"/>
      <c r="I13" s="7"/>
      <c r="J13" s="7"/>
      <c r="K13" s="7"/>
      <c r="L13" s="7"/>
      <c r="M13" s="7"/>
      <c r="N13" s="7"/>
      <c r="O13" s="5"/>
    </row>
    <row r="14" customHeight="1" spans="1:15">
      <c r="A14" s="6"/>
      <c r="B14" s="5"/>
      <c r="C14" s="5"/>
      <c r="D14" s="6"/>
      <c r="E14" s="6"/>
      <c r="F14" s="6"/>
      <c r="G14" s="6"/>
      <c r="H14" s="7"/>
      <c r="I14" s="7"/>
      <c r="J14" s="7"/>
      <c r="K14" s="7"/>
      <c r="L14" s="7"/>
      <c r="M14" s="7"/>
      <c r="N14" s="7"/>
      <c r="O14" s="5"/>
    </row>
    <row r="15" customHeight="1" spans="1:15">
      <c r="A15" s="6"/>
      <c r="B15" s="5"/>
      <c r="C15" s="5"/>
      <c r="D15" s="6"/>
      <c r="E15" s="6"/>
      <c r="F15" s="6"/>
      <c r="G15" s="6"/>
      <c r="H15" s="7"/>
      <c r="I15" s="7"/>
      <c r="J15" s="7"/>
      <c r="K15" s="7"/>
      <c r="L15" s="7"/>
      <c r="M15" s="7"/>
      <c r="N15" s="7"/>
      <c r="O15" s="5"/>
    </row>
    <row r="16" customHeight="1" spans="1:15">
      <c r="A16" s="6"/>
      <c r="B16" s="5"/>
      <c r="C16" s="5"/>
      <c r="D16" s="6"/>
      <c r="E16" s="6"/>
      <c r="F16" s="6"/>
      <c r="G16" s="6"/>
      <c r="H16" s="7"/>
      <c r="I16" s="7"/>
      <c r="J16" s="7"/>
      <c r="K16" s="7"/>
      <c r="L16" s="7"/>
      <c r="M16" s="7"/>
      <c r="N16" s="7"/>
      <c r="O16" s="5"/>
    </row>
    <row r="17" customHeight="1" spans="1:15">
      <c r="A17" s="6"/>
      <c r="B17" s="5"/>
      <c r="C17" s="5"/>
      <c r="D17" s="6"/>
      <c r="E17" s="6"/>
      <c r="F17" s="6"/>
      <c r="G17" s="6"/>
      <c r="H17" s="7"/>
      <c r="I17" s="7"/>
      <c r="J17" s="7"/>
      <c r="K17" s="7"/>
      <c r="L17" s="7"/>
      <c r="M17" s="7"/>
      <c r="N17" s="7"/>
      <c r="O17" s="5"/>
    </row>
    <row r="18" customHeight="1" spans="1:15">
      <c r="A18" s="6"/>
      <c r="B18" s="5"/>
      <c r="C18" s="5"/>
      <c r="D18" s="6"/>
      <c r="E18" s="6"/>
      <c r="F18" s="6"/>
      <c r="G18" s="6"/>
      <c r="H18" s="7"/>
      <c r="I18" s="7"/>
      <c r="J18" s="7"/>
      <c r="K18" s="7"/>
      <c r="L18" s="7"/>
      <c r="M18" s="7"/>
      <c r="N18" s="7"/>
      <c r="O18" s="5"/>
    </row>
    <row r="19" customHeight="1" spans="1:15">
      <c r="A19" s="6"/>
      <c r="B19" s="5"/>
      <c r="C19" s="5"/>
      <c r="D19" s="6"/>
      <c r="E19" s="6"/>
      <c r="F19" s="6"/>
      <c r="G19" s="6"/>
      <c r="H19" s="7"/>
      <c r="I19" s="7"/>
      <c r="J19" s="7"/>
      <c r="K19" s="7"/>
      <c r="L19" s="7"/>
      <c r="M19" s="7"/>
      <c r="N19" s="7"/>
      <c r="O19" s="5"/>
    </row>
    <row r="20" customHeight="1" spans="1:15">
      <c r="A20" s="6"/>
      <c r="B20" s="5"/>
      <c r="C20" s="5"/>
      <c r="D20" s="6"/>
      <c r="E20" s="6"/>
      <c r="F20" s="6"/>
      <c r="G20" s="6"/>
      <c r="H20" s="7"/>
      <c r="I20" s="7"/>
      <c r="J20" s="7"/>
      <c r="K20" s="7"/>
      <c r="L20" s="7"/>
      <c r="M20" s="7"/>
      <c r="N20" s="7"/>
      <c r="O20" s="5"/>
    </row>
    <row r="21" customHeight="1" spans="1:15">
      <c r="A21" s="6"/>
      <c r="B21" s="5"/>
      <c r="C21" s="5"/>
      <c r="D21" s="6"/>
      <c r="E21" s="6"/>
      <c r="F21" s="6"/>
      <c r="G21" s="6"/>
      <c r="H21" s="7"/>
      <c r="I21" s="7"/>
      <c r="J21" s="7"/>
      <c r="K21" s="7"/>
      <c r="L21" s="7"/>
      <c r="M21" s="7"/>
      <c r="N21" s="7"/>
      <c r="O21" s="5"/>
    </row>
    <row r="22" customHeight="1" spans="1:15">
      <c r="A22" s="6"/>
      <c r="B22" s="5"/>
      <c r="C22" s="5"/>
      <c r="D22" s="6"/>
      <c r="E22" s="6"/>
      <c r="F22" s="6"/>
      <c r="G22" s="6"/>
      <c r="H22" s="7"/>
      <c r="I22" s="7"/>
      <c r="J22" s="7"/>
      <c r="K22" s="7"/>
      <c r="L22" s="7"/>
      <c r="M22" s="7"/>
      <c r="N22" s="7"/>
      <c r="O22" s="5"/>
    </row>
    <row r="23" customHeight="1" spans="1:15">
      <c r="A23" s="6"/>
      <c r="B23" s="5"/>
      <c r="C23" s="5"/>
      <c r="D23" s="6"/>
      <c r="E23" s="6"/>
      <c r="F23" s="6"/>
      <c r="G23" s="6"/>
      <c r="H23" s="7"/>
      <c r="I23" s="7"/>
      <c r="J23" s="7"/>
      <c r="K23" s="7"/>
      <c r="L23" s="7"/>
      <c r="M23" s="7"/>
      <c r="N23" s="7"/>
      <c r="O23" s="5"/>
    </row>
    <row r="24" customHeight="1" spans="1:15">
      <c r="A24" s="6"/>
      <c r="B24" s="5"/>
      <c r="C24" s="5"/>
      <c r="D24" s="6"/>
      <c r="E24" s="6"/>
      <c r="F24" s="6"/>
      <c r="G24" s="6"/>
      <c r="H24" s="7"/>
      <c r="I24" s="7"/>
      <c r="J24" s="7"/>
      <c r="K24" s="7"/>
      <c r="L24" s="7"/>
      <c r="M24" s="7"/>
      <c r="N24" s="7"/>
      <c r="O24" s="5"/>
    </row>
    <row r="25" customHeight="1" spans="1:15">
      <c r="A25" s="6"/>
      <c r="B25" s="5"/>
      <c r="C25" s="5"/>
      <c r="D25" s="6"/>
      <c r="E25" s="6"/>
      <c r="F25" s="6"/>
      <c r="G25" s="6"/>
      <c r="H25" s="7"/>
      <c r="I25" s="7"/>
      <c r="J25" s="7"/>
      <c r="K25" s="7"/>
      <c r="L25" s="7"/>
      <c r="M25" s="7"/>
      <c r="N25" s="7"/>
      <c r="O25" s="5"/>
    </row>
  </sheetData>
  <mergeCells count="34">
    <mergeCell ref="A2:O2"/>
    <mergeCell ref="A3:B3"/>
    <mergeCell ref="C3:O3"/>
    <mergeCell ref="A4:B4"/>
    <mergeCell ref="C4:M4"/>
    <mergeCell ref="N4:O4"/>
    <mergeCell ref="H5:M5"/>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5:A6"/>
    <mergeCell ref="D5:D6"/>
    <mergeCell ref="E5:E6"/>
    <mergeCell ref="F5:F6"/>
    <mergeCell ref="G5:G6"/>
    <mergeCell ref="N5:N6"/>
    <mergeCell ref="O5:O6"/>
    <mergeCell ref="B5:C6"/>
  </mergeCells>
  <printOptions horizontalCentered="1"/>
  <pageMargins left="0" right="0" top="0.90551" bottom="0" header="0.55118" footer="0.3937"/>
  <pageSetup paperSize="9" firstPageNumber="13" pageOrder="overThenDown" orientation="landscape" useFirstPageNumber="1" horizontalDpi="300" verticalDpi="300"/>
  <headerFooter alignWithMargins="0" scaleWithDoc="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7"/>
  <sheetViews>
    <sheetView zoomScaleSheetLayoutView="60" workbookViewId="0">
      <selection activeCell="A1" sqref="A1"/>
    </sheetView>
  </sheetViews>
  <sheetFormatPr defaultColWidth="11" defaultRowHeight="18.75" customHeight="1" outlineLevelCol="6"/>
  <cols>
    <col min="1" max="1" width="5" style="1" customWidth="1"/>
    <col min="2" max="2" width="3.75" style="1" customWidth="1"/>
    <col min="3" max="3" width="15" style="1" customWidth="1"/>
    <col min="4" max="4" width="19" style="1" customWidth="1"/>
    <col min="5" max="5" width="9.125" style="1" customWidth="1"/>
    <col min="6" max="6" width="12.375" style="1" customWidth="1"/>
    <col min="7" max="7" width="13.75" style="1" customWidth="1"/>
    <col min="8" max="8" width="9.625" style="1" customWidth="1"/>
    <col min="9" max="16384" width="11" style="1"/>
  </cols>
  <sheetData>
    <row r="1" ht="7.5" customHeight="1" spans="1:7">
      <c r="A1" s="3"/>
      <c r="B1" s="3"/>
      <c r="C1" s="3"/>
      <c r="D1" s="3"/>
      <c r="E1" s="3"/>
      <c r="F1" s="3"/>
      <c r="G1" s="3"/>
    </row>
    <row r="2" ht="26.25" customHeight="1" spans="1:7">
      <c r="A2" s="2" t="s">
        <v>280</v>
      </c>
      <c r="B2" s="2"/>
      <c r="C2" s="2"/>
      <c r="D2" s="2"/>
      <c r="E2" s="2"/>
      <c r="F2" s="2"/>
      <c r="G2" s="2"/>
    </row>
    <row r="3" customHeight="1" spans="1:7">
      <c r="A3" s="8" t="s">
        <v>46</v>
      </c>
      <c r="B3" s="8"/>
      <c r="C3" s="3"/>
      <c r="D3" s="3"/>
      <c r="E3" s="3"/>
      <c r="F3" s="3"/>
      <c r="G3" s="3"/>
    </row>
    <row r="4" customHeight="1" spans="1:7">
      <c r="A4" s="8" t="s">
        <v>47</v>
      </c>
      <c r="B4" s="8"/>
      <c r="C4" s="10" t="s">
        <v>0</v>
      </c>
      <c r="D4" s="10"/>
      <c r="E4" s="10"/>
      <c r="F4" s="10"/>
      <c r="G4" s="16" t="s">
        <v>28</v>
      </c>
    </row>
    <row r="5" customHeight="1" spans="1:7">
      <c r="A5" s="6" t="s">
        <v>48</v>
      </c>
      <c r="B5" s="6" t="s">
        <v>281</v>
      </c>
      <c r="C5" s="6"/>
      <c r="D5" s="6" t="s">
        <v>255</v>
      </c>
      <c r="E5" s="6" t="s">
        <v>282</v>
      </c>
      <c r="F5" s="6" t="s">
        <v>283</v>
      </c>
      <c r="G5" s="6" t="s">
        <v>71</v>
      </c>
    </row>
    <row r="6" customHeight="1" spans="1:7">
      <c r="A6" s="6" t="s">
        <v>51</v>
      </c>
      <c r="B6" s="5" t="s">
        <v>284</v>
      </c>
      <c r="C6" s="5"/>
      <c r="D6" s="5"/>
      <c r="E6" s="6" t="s">
        <v>285</v>
      </c>
      <c r="F6" s="7" t="s">
        <v>286</v>
      </c>
      <c r="G6" s="5"/>
    </row>
    <row r="7" customHeight="1" spans="1:7">
      <c r="A7" s="6" t="s">
        <v>53</v>
      </c>
      <c r="B7" s="5" t="s">
        <v>287</v>
      </c>
      <c r="C7" s="5"/>
      <c r="D7" s="5" t="s">
        <v>288</v>
      </c>
      <c r="E7" s="6" t="s">
        <v>289</v>
      </c>
      <c r="F7" s="7" t="s">
        <v>290</v>
      </c>
      <c r="G7" s="5"/>
    </row>
    <row r="8" customHeight="1" spans="1:7">
      <c r="A8" s="6" t="s">
        <v>55</v>
      </c>
      <c r="B8" s="5" t="s">
        <v>291</v>
      </c>
      <c r="C8" s="5"/>
      <c r="D8" s="5"/>
      <c r="E8" s="6" t="s">
        <v>82</v>
      </c>
      <c r="F8" s="7" t="s">
        <v>292</v>
      </c>
      <c r="G8" s="5"/>
    </row>
    <row r="9" customHeight="1" spans="1:7">
      <c r="A9" s="6" t="s">
        <v>57</v>
      </c>
      <c r="B9" s="5" t="s">
        <v>293</v>
      </c>
      <c r="C9" s="5"/>
      <c r="D9" s="5" t="s">
        <v>294</v>
      </c>
      <c r="E9" s="6" t="s">
        <v>285</v>
      </c>
      <c r="F9" s="7" t="s">
        <v>295</v>
      </c>
      <c r="G9" s="5"/>
    </row>
    <row r="10" customHeight="1" spans="1:7">
      <c r="A10" s="6" t="s">
        <v>59</v>
      </c>
      <c r="B10" s="5" t="s">
        <v>296</v>
      </c>
      <c r="C10" s="5"/>
      <c r="D10" s="5"/>
      <c r="E10" s="6" t="s">
        <v>285</v>
      </c>
      <c r="F10" s="7" t="s">
        <v>297</v>
      </c>
      <c r="G10" s="5"/>
    </row>
    <row r="11" customHeight="1" spans="1:7">
      <c r="A11" s="6" t="s">
        <v>227</v>
      </c>
      <c r="B11" s="5" t="s">
        <v>298</v>
      </c>
      <c r="C11" s="5"/>
      <c r="D11" s="5"/>
      <c r="E11" s="6" t="s">
        <v>82</v>
      </c>
      <c r="F11" s="7" t="s">
        <v>299</v>
      </c>
      <c r="G11" s="5"/>
    </row>
    <row r="12" customHeight="1" spans="1:7">
      <c r="A12" s="6" t="s">
        <v>223</v>
      </c>
      <c r="B12" s="5" t="s">
        <v>300</v>
      </c>
      <c r="C12" s="5"/>
      <c r="D12" s="5"/>
      <c r="E12" s="6" t="s">
        <v>285</v>
      </c>
      <c r="F12" s="7" t="s">
        <v>301</v>
      </c>
      <c r="G12" s="5"/>
    </row>
    <row r="13" customHeight="1" spans="1:7">
      <c r="A13" s="6" t="s">
        <v>237</v>
      </c>
      <c r="B13" s="5" t="s">
        <v>302</v>
      </c>
      <c r="C13" s="5"/>
      <c r="D13" s="5"/>
      <c r="E13" s="6" t="s">
        <v>285</v>
      </c>
      <c r="F13" s="7" t="s">
        <v>301</v>
      </c>
      <c r="G13" s="5"/>
    </row>
    <row r="14" customHeight="1" spans="1:7">
      <c r="A14" s="6" t="s">
        <v>225</v>
      </c>
      <c r="B14" s="5" t="s">
        <v>303</v>
      </c>
      <c r="C14" s="5"/>
      <c r="D14" s="5"/>
      <c r="E14" s="6" t="s">
        <v>82</v>
      </c>
      <c r="F14" s="7" t="s">
        <v>304</v>
      </c>
      <c r="G14" s="5"/>
    </row>
    <row r="15" customHeight="1" spans="1:7">
      <c r="A15" s="6" t="s">
        <v>241</v>
      </c>
      <c r="B15" s="5" t="s">
        <v>305</v>
      </c>
      <c r="C15" s="5"/>
      <c r="D15" s="5"/>
      <c r="E15" s="6" t="s">
        <v>82</v>
      </c>
      <c r="F15" s="7" t="s">
        <v>306</v>
      </c>
      <c r="G15" s="5"/>
    </row>
    <row r="16" customHeight="1" spans="1:7">
      <c r="A16" s="6" t="s">
        <v>244</v>
      </c>
      <c r="B16" s="5" t="s">
        <v>307</v>
      </c>
      <c r="C16" s="5"/>
      <c r="D16" s="5"/>
      <c r="E16" s="6" t="s">
        <v>82</v>
      </c>
      <c r="F16" s="7" t="s">
        <v>308</v>
      </c>
      <c r="G16" s="5"/>
    </row>
    <row r="17" customHeight="1" spans="1:7">
      <c r="A17" s="6" t="s">
        <v>309</v>
      </c>
      <c r="B17" s="5" t="s">
        <v>310</v>
      </c>
      <c r="C17" s="5"/>
      <c r="D17" s="5" t="s">
        <v>311</v>
      </c>
      <c r="E17" s="6" t="s">
        <v>109</v>
      </c>
      <c r="F17" s="7" t="s">
        <v>312</v>
      </c>
      <c r="G17" s="5"/>
    </row>
    <row r="18" customHeight="1" spans="1:7">
      <c r="A18" s="6"/>
      <c r="B18" s="5"/>
      <c r="C18" s="5"/>
      <c r="D18" s="5"/>
      <c r="E18" s="6"/>
      <c r="F18" s="7"/>
      <c r="G18" s="5"/>
    </row>
    <row r="19" customHeight="1" spans="1:7">
      <c r="A19" s="6"/>
      <c r="B19" s="5"/>
      <c r="C19" s="5"/>
      <c r="D19" s="5"/>
      <c r="E19" s="6"/>
      <c r="F19" s="7"/>
      <c r="G19" s="5"/>
    </row>
    <row r="20" customHeight="1" spans="1:7">
      <c r="A20" s="6"/>
      <c r="B20" s="5"/>
      <c r="C20" s="5"/>
      <c r="D20" s="5"/>
      <c r="E20" s="6"/>
      <c r="F20" s="7"/>
      <c r="G20" s="5"/>
    </row>
    <row r="21" customHeight="1" spans="1:7">
      <c r="A21" s="6"/>
      <c r="B21" s="5"/>
      <c r="C21" s="5"/>
      <c r="D21" s="5"/>
      <c r="E21" s="6"/>
      <c r="F21" s="7"/>
      <c r="G21" s="5"/>
    </row>
    <row r="22" customHeight="1" spans="1:7">
      <c r="A22" s="6"/>
      <c r="B22" s="5"/>
      <c r="C22" s="5"/>
      <c r="D22" s="5"/>
      <c r="E22" s="6"/>
      <c r="F22" s="7"/>
      <c r="G22" s="5"/>
    </row>
    <row r="23" customHeight="1" spans="1:7">
      <c r="A23" s="6"/>
      <c r="B23" s="5"/>
      <c r="C23" s="5"/>
      <c r="D23" s="5"/>
      <c r="E23" s="6"/>
      <c r="F23" s="7"/>
      <c r="G23" s="5"/>
    </row>
    <row r="24" customHeight="1" spans="1:7">
      <c r="A24" s="6"/>
      <c r="B24" s="5"/>
      <c r="C24" s="5"/>
      <c r="D24" s="5"/>
      <c r="E24" s="6"/>
      <c r="F24" s="7"/>
      <c r="G24" s="5"/>
    </row>
    <row r="25" customHeight="1" spans="1:7">
      <c r="A25" s="6"/>
      <c r="B25" s="5"/>
      <c r="C25" s="5"/>
      <c r="D25" s="5"/>
      <c r="E25" s="6"/>
      <c r="F25" s="7"/>
      <c r="G25" s="5"/>
    </row>
    <row r="26" customHeight="1" spans="1:7">
      <c r="A26" s="6"/>
      <c r="B26" s="5"/>
      <c r="C26" s="5"/>
      <c r="D26" s="5"/>
      <c r="E26" s="6"/>
      <c r="F26" s="7"/>
      <c r="G26" s="5"/>
    </row>
    <row r="27" customHeight="1" spans="1:7">
      <c r="A27" s="6"/>
      <c r="B27" s="5"/>
      <c r="C27" s="5"/>
      <c r="D27" s="5"/>
      <c r="E27" s="6"/>
      <c r="F27" s="7"/>
      <c r="G27" s="5"/>
    </row>
    <row r="28" customHeight="1" spans="1:7">
      <c r="A28" s="6"/>
      <c r="B28" s="5"/>
      <c r="C28" s="5"/>
      <c r="D28" s="5"/>
      <c r="E28" s="6"/>
      <c r="F28" s="7"/>
      <c r="G28" s="5"/>
    </row>
    <row r="29" customHeight="1" spans="1:7">
      <c r="A29" s="6"/>
      <c r="B29" s="5"/>
      <c r="C29" s="5"/>
      <c r="D29" s="5"/>
      <c r="E29" s="6"/>
      <c r="F29" s="7"/>
      <c r="G29" s="5"/>
    </row>
    <row r="30" customHeight="1" spans="1:7">
      <c r="A30" s="6"/>
      <c r="B30" s="5"/>
      <c r="C30" s="5"/>
      <c r="D30" s="5"/>
      <c r="E30" s="6"/>
      <c r="F30" s="7"/>
      <c r="G30" s="5"/>
    </row>
    <row r="31" customHeight="1" spans="1:7">
      <c r="A31" s="6"/>
      <c r="B31" s="5"/>
      <c r="C31" s="5"/>
      <c r="D31" s="5"/>
      <c r="E31" s="6"/>
      <c r="F31" s="7"/>
      <c r="G31" s="5"/>
    </row>
    <row r="32" customHeight="1" spans="1:7">
      <c r="A32" s="6"/>
      <c r="B32" s="5"/>
      <c r="C32" s="5"/>
      <c r="D32" s="5"/>
      <c r="E32" s="6"/>
      <c r="F32" s="7"/>
      <c r="G32" s="5"/>
    </row>
    <row r="33" customHeight="1" spans="1:7">
      <c r="A33" s="6"/>
      <c r="B33" s="5"/>
      <c r="C33" s="5"/>
      <c r="D33" s="5"/>
      <c r="E33" s="6"/>
      <c r="F33" s="7"/>
      <c r="G33" s="5"/>
    </row>
    <row r="34" customHeight="1" spans="1:7">
      <c r="A34" s="6"/>
      <c r="B34" s="5"/>
      <c r="C34" s="5"/>
      <c r="D34" s="5"/>
      <c r="E34" s="6"/>
      <c r="F34" s="7"/>
      <c r="G34" s="5"/>
    </row>
    <row r="35" customHeight="1" spans="1:7">
      <c r="A35" s="6"/>
      <c r="B35" s="5"/>
      <c r="C35" s="5"/>
      <c r="D35" s="5"/>
      <c r="E35" s="6"/>
      <c r="F35" s="7"/>
      <c r="G35" s="5"/>
    </row>
    <row r="36" customHeight="1" spans="1:7">
      <c r="A36" s="6"/>
      <c r="B36" s="5"/>
      <c r="C36" s="5"/>
      <c r="D36" s="5"/>
      <c r="E36" s="6"/>
      <c r="F36" s="7"/>
      <c r="G36" s="5"/>
    </row>
    <row r="37" customHeight="1" spans="1:7">
      <c r="A37" s="6"/>
      <c r="B37" s="5"/>
      <c r="C37" s="5"/>
      <c r="D37" s="5"/>
      <c r="E37" s="6"/>
      <c r="F37" s="7"/>
      <c r="G37" s="5"/>
    </row>
  </sheetData>
  <mergeCells count="38">
    <mergeCell ref="A2:G2"/>
    <mergeCell ref="A3:B3"/>
    <mergeCell ref="C3:G3"/>
    <mergeCell ref="A4:B4"/>
    <mergeCell ref="C4:F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s>
  <pageMargins left="0.90551" right="0" top="0.70866" bottom="0" header="0.55118" footer="0.3937"/>
  <pageSetup paperSize="9" firstPageNumber="14" pageOrder="overThenDown" orientation="portrait" useFirstPageNumber="1" horizontalDpi="300" verticalDpi="300"/>
  <headerFooter alignWithMargins="0" scaleWithDoc="0">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P50"/>
  <sheetViews>
    <sheetView zoomScaleSheetLayoutView="60" workbookViewId="0">
      <selection activeCell="A1" sqref="A1"/>
    </sheetView>
  </sheetViews>
  <sheetFormatPr defaultColWidth="11" defaultRowHeight="18.75" customHeight="1"/>
  <cols>
    <col min="1" max="1" width="5" style="1" customWidth="1"/>
    <col min="2" max="2" width="3.75" style="1" customWidth="1"/>
    <col min="3" max="3" width="8.75" style="1" customWidth="1"/>
    <col min="4" max="4" width="14.375" style="1" customWidth="1"/>
    <col min="5" max="14" width="7.5" style="1" customWidth="1"/>
    <col min="15" max="15" width="6.875" style="1" customWidth="1"/>
    <col min="16" max="16" width="8.75" style="1" customWidth="1"/>
    <col min="17" max="17" width="9.625" style="1" customWidth="1"/>
    <col min="18" max="16384" width="11" style="1"/>
  </cols>
  <sheetData>
    <row r="1" ht="7.5" customHeight="1" spans="1:16">
      <c r="A1" s="3"/>
      <c r="B1" s="3"/>
      <c r="C1" s="3"/>
      <c r="D1" s="3"/>
      <c r="E1" s="3"/>
      <c r="F1" s="3"/>
      <c r="G1" s="3"/>
      <c r="H1" s="3"/>
      <c r="I1" s="3"/>
      <c r="J1" s="3"/>
      <c r="K1" s="3"/>
      <c r="L1" s="3"/>
      <c r="M1" s="3"/>
      <c r="N1" s="3"/>
      <c r="O1" s="3"/>
      <c r="P1" s="3"/>
    </row>
    <row r="2" ht="26.25" customHeight="1" spans="1:16">
      <c r="A2" s="2" t="s">
        <v>313</v>
      </c>
      <c r="B2" s="2"/>
      <c r="C2" s="2"/>
      <c r="D2" s="2"/>
      <c r="E2" s="2"/>
      <c r="F2" s="2"/>
      <c r="G2" s="2"/>
      <c r="H2" s="2"/>
      <c r="I2" s="2"/>
      <c r="J2" s="2"/>
      <c r="K2" s="2"/>
      <c r="L2" s="2"/>
      <c r="M2" s="2"/>
      <c r="N2" s="2"/>
      <c r="O2" s="2"/>
      <c r="P2" s="2"/>
    </row>
    <row r="3" customHeight="1" spans="1:16">
      <c r="A3" s="8" t="s">
        <v>46</v>
      </c>
      <c r="B3" s="8"/>
      <c r="C3" s="3"/>
      <c r="D3" s="3"/>
      <c r="E3" s="3"/>
      <c r="F3" s="3"/>
      <c r="G3" s="3"/>
      <c r="H3" s="3"/>
      <c r="I3" s="3"/>
      <c r="J3" s="3"/>
      <c r="K3" s="3"/>
      <c r="L3" s="3"/>
      <c r="M3" s="3"/>
      <c r="N3" s="3"/>
      <c r="O3" s="3"/>
      <c r="P3" s="3"/>
    </row>
    <row r="4" customHeight="1" spans="1:16">
      <c r="A4" s="8" t="s">
        <v>47</v>
      </c>
      <c r="B4" s="8"/>
      <c r="C4" s="10" t="s">
        <v>0</v>
      </c>
      <c r="D4" s="10"/>
      <c r="E4" s="10"/>
      <c r="F4" s="10"/>
      <c r="G4" s="10"/>
      <c r="H4" s="10"/>
      <c r="I4" s="10"/>
      <c r="J4" s="10"/>
      <c r="K4" s="10"/>
      <c r="L4" s="10"/>
      <c r="M4" s="10"/>
      <c r="N4" s="16" t="s">
        <v>314</v>
      </c>
      <c r="O4" s="16"/>
      <c r="P4" s="16"/>
    </row>
    <row r="5" customHeight="1" spans="1:16">
      <c r="A5" s="3" t="s">
        <v>315</v>
      </c>
      <c r="B5" s="3"/>
      <c r="C5" s="3"/>
      <c r="D5" s="3"/>
      <c r="E5" s="3"/>
      <c r="F5" s="3"/>
      <c r="G5" s="3"/>
      <c r="H5" s="3"/>
      <c r="I5" s="3"/>
      <c r="J5" s="3"/>
      <c r="K5" s="3"/>
      <c r="L5" s="3"/>
      <c r="M5" s="3"/>
      <c r="N5" s="3"/>
      <c r="O5" s="3"/>
      <c r="P5" s="3"/>
    </row>
    <row r="6" customHeight="1" spans="1:16">
      <c r="A6" s="6" t="s">
        <v>48</v>
      </c>
      <c r="B6" s="6" t="s">
        <v>316</v>
      </c>
      <c r="C6" s="6"/>
      <c r="D6" s="6" t="s">
        <v>255</v>
      </c>
      <c r="E6" s="6" t="s">
        <v>317</v>
      </c>
      <c r="F6" s="6"/>
      <c r="G6" s="6"/>
      <c r="H6" s="6"/>
      <c r="I6" s="6" t="s">
        <v>318</v>
      </c>
      <c r="J6" s="6"/>
      <c r="K6" s="6"/>
      <c r="L6" s="6"/>
      <c r="M6" s="6"/>
      <c r="N6" s="6"/>
      <c r="O6" s="6" t="s">
        <v>319</v>
      </c>
      <c r="P6" s="6" t="s">
        <v>61</v>
      </c>
    </row>
    <row r="7" customHeight="1" spans="1:16">
      <c r="A7" s="6"/>
      <c r="B7" s="6"/>
      <c r="C7" s="6"/>
      <c r="D7" s="6"/>
      <c r="E7" s="6" t="s">
        <v>320</v>
      </c>
      <c r="F7" s="6" t="s">
        <v>321</v>
      </c>
      <c r="G7" s="6" t="s">
        <v>322</v>
      </c>
      <c r="H7" s="6" t="s">
        <v>323</v>
      </c>
      <c r="I7" s="6" t="s">
        <v>324</v>
      </c>
      <c r="J7" s="6" t="s">
        <v>293</v>
      </c>
      <c r="K7" s="6" t="s">
        <v>257</v>
      </c>
      <c r="L7" s="6" t="s">
        <v>296</v>
      </c>
      <c r="M7" s="6" t="s">
        <v>256</v>
      </c>
      <c r="N7" s="6" t="s">
        <v>323</v>
      </c>
      <c r="O7" s="6"/>
      <c r="P7" s="6"/>
    </row>
    <row r="8" customHeight="1" spans="1:16">
      <c r="A8" s="6" t="s">
        <v>51</v>
      </c>
      <c r="B8" s="5" t="s">
        <v>325</v>
      </c>
      <c r="C8" s="5"/>
      <c r="D8" s="5" t="s">
        <v>326</v>
      </c>
      <c r="E8" s="15">
        <f>ROUND(1*32.1592920353982,2)</f>
        <v>32.16</v>
      </c>
      <c r="F8" s="15">
        <f>ROUND(1*23.8256880733945,2)</f>
        <v>23.83</v>
      </c>
      <c r="G8" s="15">
        <f>ROUND(1*2.22,2)</f>
        <v>2.22</v>
      </c>
      <c r="H8" s="15">
        <f t="shared" ref="H8:H25" si="0">E8+F8+G8</f>
        <v>58.21</v>
      </c>
      <c r="I8" s="15">
        <f>ROUND(3.46*2.7,2)</f>
        <v>9.34</v>
      </c>
      <c r="J8" s="15">
        <f>ROUND(3*14.9,2)</f>
        <v>44.7</v>
      </c>
      <c r="K8" s="15">
        <v>0</v>
      </c>
      <c r="L8" s="15">
        <v>0</v>
      </c>
      <c r="M8" s="15">
        <v>0</v>
      </c>
      <c r="N8" s="15">
        <f t="shared" ref="N8:N25" si="1">I8+J8+K8+L8+M8</f>
        <v>54.04</v>
      </c>
      <c r="O8" s="15">
        <v>0</v>
      </c>
      <c r="P8" s="15">
        <f t="shared" ref="P8:P25" si="2">H8+N8+O8</f>
        <v>112.25</v>
      </c>
    </row>
    <row r="9" customHeight="1" spans="1:16">
      <c r="A9" s="6" t="s">
        <v>53</v>
      </c>
      <c r="B9" s="5" t="s">
        <v>327</v>
      </c>
      <c r="C9" s="5"/>
      <c r="D9" s="5" t="s">
        <v>328</v>
      </c>
      <c r="E9" s="15">
        <f>ROUND(1*6.31858407079646,2)</f>
        <v>6.32</v>
      </c>
      <c r="F9" s="15">
        <f>ROUND(1*11.4678899082569,2)</f>
        <v>11.47</v>
      </c>
      <c r="G9" s="15">
        <f>ROUND(1*0.44,2)</f>
        <v>0.44</v>
      </c>
      <c r="H9" s="15">
        <f t="shared" si="0"/>
        <v>18.23</v>
      </c>
      <c r="I9" s="15">
        <f t="shared" ref="I9:I12" si="3">ROUND(3.46*2.4,2)</f>
        <v>8.3</v>
      </c>
      <c r="J9" s="15">
        <f>ROUND(3*7.9,2)</f>
        <v>23.7</v>
      </c>
      <c r="K9" s="15">
        <v>0</v>
      </c>
      <c r="L9" s="15">
        <v>0</v>
      </c>
      <c r="M9" s="15">
        <v>0</v>
      </c>
      <c r="N9" s="15">
        <f t="shared" si="1"/>
        <v>32</v>
      </c>
      <c r="O9" s="15">
        <v>0</v>
      </c>
      <c r="P9" s="15">
        <f t="shared" si="2"/>
        <v>50.23</v>
      </c>
    </row>
    <row r="10" customHeight="1" spans="1:16">
      <c r="A10" s="6" t="s">
        <v>55</v>
      </c>
      <c r="B10" s="5" t="s">
        <v>327</v>
      </c>
      <c r="C10" s="5"/>
      <c r="D10" s="5" t="s">
        <v>329</v>
      </c>
      <c r="E10" s="15">
        <f>ROUND(1*9.55752212389381,2)</f>
        <v>9.56</v>
      </c>
      <c r="F10" s="15">
        <f>ROUND(1*11.9449541284404,2)</f>
        <v>11.94</v>
      </c>
      <c r="G10" s="15">
        <f>ROUND(1*0.49,2)</f>
        <v>0.49</v>
      </c>
      <c r="H10" s="15">
        <f t="shared" si="0"/>
        <v>21.99</v>
      </c>
      <c r="I10" s="15">
        <f t="shared" si="3"/>
        <v>8.3</v>
      </c>
      <c r="J10" s="15">
        <f>ROUND(3*8.4,2)</f>
        <v>25.2</v>
      </c>
      <c r="K10" s="15">
        <v>0</v>
      </c>
      <c r="L10" s="15">
        <v>0</v>
      </c>
      <c r="M10" s="15">
        <v>0</v>
      </c>
      <c r="N10" s="15">
        <f t="shared" si="1"/>
        <v>33.5</v>
      </c>
      <c r="O10" s="15">
        <v>0</v>
      </c>
      <c r="P10" s="15">
        <f t="shared" si="2"/>
        <v>55.49</v>
      </c>
    </row>
    <row r="11" customHeight="1" spans="1:16">
      <c r="A11" s="6" t="s">
        <v>57</v>
      </c>
      <c r="B11" s="5" t="s">
        <v>327</v>
      </c>
      <c r="C11" s="5"/>
      <c r="D11" s="5" t="s">
        <v>330</v>
      </c>
      <c r="E11" s="15">
        <f>ROUND(1*16.8141592920354,2)</f>
        <v>16.81</v>
      </c>
      <c r="F11" s="15">
        <f>ROUND(1*20.9266055045872,2)</f>
        <v>20.93</v>
      </c>
      <c r="G11" s="15">
        <f>ROUND(1*0.86,2)</f>
        <v>0.86</v>
      </c>
      <c r="H11" s="15">
        <f t="shared" si="0"/>
        <v>38.6</v>
      </c>
      <c r="I11" s="15">
        <f t="shared" si="3"/>
        <v>8.3</v>
      </c>
      <c r="J11" s="15">
        <f>ROUND(3*10.6,2)</f>
        <v>31.8</v>
      </c>
      <c r="K11" s="15">
        <v>0</v>
      </c>
      <c r="L11" s="15">
        <v>0</v>
      </c>
      <c r="M11" s="15">
        <v>0</v>
      </c>
      <c r="N11" s="15">
        <f t="shared" si="1"/>
        <v>40.1</v>
      </c>
      <c r="O11" s="15">
        <v>0</v>
      </c>
      <c r="P11" s="15">
        <f t="shared" si="2"/>
        <v>78.7</v>
      </c>
    </row>
    <row r="12" customHeight="1" spans="1:16">
      <c r="A12" s="6" t="s">
        <v>59</v>
      </c>
      <c r="B12" s="5" t="s">
        <v>331</v>
      </c>
      <c r="C12" s="5"/>
      <c r="D12" s="5" t="s">
        <v>332</v>
      </c>
      <c r="E12" s="15">
        <f>ROUND(1*5.04424778761062,2)</f>
        <v>5.04</v>
      </c>
      <c r="F12" s="15">
        <f>ROUND(1*6.27522935779816,2)</f>
        <v>6.28</v>
      </c>
      <c r="G12" s="15">
        <f>ROUND(1*0.37,2)</f>
        <v>0.37</v>
      </c>
      <c r="H12" s="15">
        <f t="shared" si="0"/>
        <v>11.69</v>
      </c>
      <c r="I12" s="15">
        <f t="shared" si="3"/>
        <v>8.3</v>
      </c>
      <c r="J12" s="15">
        <f>ROUND(3*7.9,2)</f>
        <v>23.7</v>
      </c>
      <c r="K12" s="15">
        <v>0</v>
      </c>
      <c r="L12" s="15">
        <v>0</v>
      </c>
      <c r="M12" s="15">
        <v>0</v>
      </c>
      <c r="N12" s="15">
        <f t="shared" si="1"/>
        <v>32</v>
      </c>
      <c r="O12" s="15">
        <v>0</v>
      </c>
      <c r="P12" s="15">
        <f t="shared" si="2"/>
        <v>43.69</v>
      </c>
    </row>
    <row r="13" customHeight="1" spans="1:16">
      <c r="A13" s="6" t="s">
        <v>227</v>
      </c>
      <c r="B13" s="5" t="s">
        <v>333</v>
      </c>
      <c r="C13" s="5"/>
      <c r="D13" s="5" t="s">
        <v>334</v>
      </c>
      <c r="E13" s="15">
        <f>ROUND(1*1.12389380530973,2)</f>
        <v>1.12</v>
      </c>
      <c r="F13" s="15">
        <f>ROUND(1*0.972477064220184,2)</f>
        <v>0.97</v>
      </c>
      <c r="G13" s="15">
        <v>0</v>
      </c>
      <c r="H13" s="15">
        <f t="shared" si="0"/>
        <v>2.09</v>
      </c>
      <c r="I13" s="15">
        <v>0</v>
      </c>
      <c r="J13" s="15">
        <v>0</v>
      </c>
      <c r="K13" s="15">
        <v>0</v>
      </c>
      <c r="L13" s="15">
        <v>0</v>
      </c>
      <c r="M13" s="15">
        <v>0</v>
      </c>
      <c r="N13" s="15">
        <f t="shared" si="1"/>
        <v>0</v>
      </c>
      <c r="O13" s="15">
        <v>0</v>
      </c>
      <c r="P13" s="15">
        <f t="shared" si="2"/>
        <v>2.09</v>
      </c>
    </row>
    <row r="14" customHeight="1" spans="1:16">
      <c r="A14" s="6" t="s">
        <v>223</v>
      </c>
      <c r="B14" s="5" t="s">
        <v>335</v>
      </c>
      <c r="C14" s="5"/>
      <c r="D14" s="5"/>
      <c r="E14" s="15">
        <f>ROUND(1*4.48672566371682,2)</f>
        <v>4.49</v>
      </c>
      <c r="F14" s="15">
        <f>ROUND(1*5.15596330275229,2)</f>
        <v>5.16</v>
      </c>
      <c r="G14" s="15">
        <f>ROUND(1*0.22,2)</f>
        <v>0.22</v>
      </c>
      <c r="H14" s="15">
        <f t="shared" si="0"/>
        <v>9.87</v>
      </c>
      <c r="I14" s="15">
        <f>ROUND(3.46*2.4,2)</f>
        <v>8.3</v>
      </c>
      <c r="J14" s="15">
        <f>ROUND(3*7.4,2)</f>
        <v>22.2</v>
      </c>
      <c r="K14" s="15">
        <v>0</v>
      </c>
      <c r="L14" s="15">
        <v>0</v>
      </c>
      <c r="M14" s="15">
        <v>0</v>
      </c>
      <c r="N14" s="15">
        <f t="shared" si="1"/>
        <v>30.5</v>
      </c>
      <c r="O14" s="15">
        <v>0</v>
      </c>
      <c r="P14" s="15">
        <f t="shared" si="2"/>
        <v>40.37</v>
      </c>
    </row>
    <row r="15" customHeight="1" spans="1:16">
      <c r="A15" s="6" t="s">
        <v>237</v>
      </c>
      <c r="B15" s="5" t="s">
        <v>336</v>
      </c>
      <c r="C15" s="5"/>
      <c r="D15" s="5" t="s">
        <v>337</v>
      </c>
      <c r="E15" s="15">
        <f>ROUND(1*0.150442477876106,2)</f>
        <v>0.15</v>
      </c>
      <c r="F15" s="15">
        <f>ROUND(1*0.926605504587156,2)</f>
        <v>0.93</v>
      </c>
      <c r="G15" s="15">
        <v>0</v>
      </c>
      <c r="H15" s="15">
        <f t="shared" si="0"/>
        <v>1.08</v>
      </c>
      <c r="I15" s="15">
        <f>ROUND(3.46*2,2)</f>
        <v>6.92</v>
      </c>
      <c r="J15" s="15">
        <v>0</v>
      </c>
      <c r="K15" s="15">
        <f>ROUND(电、风、水、砂石基础单价汇总表!K7*2.5,2)</f>
        <v>1.83</v>
      </c>
      <c r="L15" s="15">
        <v>0</v>
      </c>
      <c r="M15" s="15">
        <v>0</v>
      </c>
      <c r="N15" s="15">
        <f t="shared" si="1"/>
        <v>8.75</v>
      </c>
      <c r="O15" s="15">
        <v>0</v>
      </c>
      <c r="P15" s="15">
        <f t="shared" si="2"/>
        <v>9.83</v>
      </c>
    </row>
    <row r="16" customHeight="1" spans="1:16">
      <c r="A16" s="6" t="s">
        <v>225</v>
      </c>
      <c r="B16" s="5" t="s">
        <v>338</v>
      </c>
      <c r="C16" s="5"/>
      <c r="D16" s="5" t="s">
        <v>339</v>
      </c>
      <c r="E16" s="15">
        <f>ROUND(1*2.91150442477876,2)</f>
        <v>2.91</v>
      </c>
      <c r="F16" s="15">
        <f>ROUND(1*4.89908256880734,2)</f>
        <v>4.9</v>
      </c>
      <c r="G16" s="15">
        <f>ROUND(1*1.07,2)</f>
        <v>1.07</v>
      </c>
      <c r="H16" s="15">
        <f t="shared" si="0"/>
        <v>8.88</v>
      </c>
      <c r="I16" s="15">
        <f t="shared" ref="I16:I21" si="4">ROUND(3.46*1.3,2)</f>
        <v>4.5</v>
      </c>
      <c r="J16" s="15">
        <v>0</v>
      </c>
      <c r="K16" s="15">
        <f>ROUND(电、风、水、砂石基础单价汇总表!K7*8.6,2)</f>
        <v>6.28</v>
      </c>
      <c r="L16" s="15">
        <v>0</v>
      </c>
      <c r="M16" s="15">
        <v>0</v>
      </c>
      <c r="N16" s="15">
        <f t="shared" si="1"/>
        <v>10.78</v>
      </c>
      <c r="O16" s="15">
        <v>0</v>
      </c>
      <c r="P16" s="15">
        <f t="shared" si="2"/>
        <v>19.66</v>
      </c>
    </row>
    <row r="17" customHeight="1" spans="1:16">
      <c r="A17" s="6" t="s">
        <v>241</v>
      </c>
      <c r="B17" s="5" t="s">
        <v>340</v>
      </c>
      <c r="C17" s="5"/>
      <c r="D17" s="5" t="s">
        <v>341</v>
      </c>
      <c r="E17" s="15">
        <f>ROUND(1*26.9734513274336,2)</f>
        <v>26.97</v>
      </c>
      <c r="F17" s="15">
        <f>ROUND(1*18.9266055045872,2)</f>
        <v>18.93</v>
      </c>
      <c r="G17" s="15">
        <f>ROUND(1*2.1,2)</f>
        <v>2.1</v>
      </c>
      <c r="H17" s="15">
        <f t="shared" si="0"/>
        <v>48</v>
      </c>
      <c r="I17" s="15">
        <f>ROUND(3.46*2.4,2)</f>
        <v>8.3</v>
      </c>
      <c r="J17" s="15">
        <v>0</v>
      </c>
      <c r="K17" s="15">
        <f>ROUND(电、风、水、砂石基础单价汇总表!K7*26.7,2)</f>
        <v>19.49</v>
      </c>
      <c r="L17" s="15">
        <v>0</v>
      </c>
      <c r="M17" s="15">
        <v>0</v>
      </c>
      <c r="N17" s="15">
        <f t="shared" si="1"/>
        <v>27.79</v>
      </c>
      <c r="O17" s="15">
        <v>0</v>
      </c>
      <c r="P17" s="15">
        <f t="shared" si="2"/>
        <v>75.79</v>
      </c>
    </row>
    <row r="18" ht="27.75" customHeight="1" spans="1:16">
      <c r="A18" s="6" t="s">
        <v>244</v>
      </c>
      <c r="B18" s="5" t="s">
        <v>342</v>
      </c>
      <c r="C18" s="5"/>
      <c r="D18" s="5" t="s">
        <v>343</v>
      </c>
      <c r="E18" s="15">
        <f>ROUND(1*0.283185840707965,2)</f>
        <v>0.28</v>
      </c>
      <c r="F18" s="15">
        <f>ROUND(1*1.11926605504587,2)</f>
        <v>1.12</v>
      </c>
      <c r="G18" s="15">
        <v>0</v>
      </c>
      <c r="H18" s="15">
        <f t="shared" si="0"/>
        <v>1.4</v>
      </c>
      <c r="I18" s="15">
        <v>0</v>
      </c>
      <c r="J18" s="15">
        <v>0</v>
      </c>
      <c r="K18" s="15">
        <f>ROUND(电、风、水、砂石基础单价汇总表!K7*0.8,2)</f>
        <v>0.58</v>
      </c>
      <c r="L18" s="15">
        <v>0</v>
      </c>
      <c r="M18" s="15">
        <v>0</v>
      </c>
      <c r="N18" s="15">
        <f t="shared" si="1"/>
        <v>0.58</v>
      </c>
      <c r="O18" s="15">
        <v>0</v>
      </c>
      <c r="P18" s="15">
        <f t="shared" si="2"/>
        <v>1.98</v>
      </c>
    </row>
    <row r="19" customHeight="1" spans="1:16">
      <c r="A19" s="6" t="s">
        <v>309</v>
      </c>
      <c r="B19" s="5" t="s">
        <v>344</v>
      </c>
      <c r="C19" s="5"/>
      <c r="D19" s="5" t="s">
        <v>345</v>
      </c>
      <c r="E19" s="15">
        <f>ROUND(1*0.212389380530973,2)</f>
        <v>0.21</v>
      </c>
      <c r="F19" s="15">
        <f>ROUND(1*0.385321100917431,2)</f>
        <v>0.39</v>
      </c>
      <c r="G19" s="15">
        <v>0</v>
      </c>
      <c r="H19" s="15">
        <f t="shared" si="0"/>
        <v>0.6</v>
      </c>
      <c r="I19" s="15">
        <v>0</v>
      </c>
      <c r="J19" s="15">
        <v>0</v>
      </c>
      <c r="K19" s="15">
        <v>0</v>
      </c>
      <c r="L19" s="15">
        <v>0</v>
      </c>
      <c r="M19" s="15">
        <f>ROUND(电、风、水、砂石基础单价汇总表!K8*4.1,2)+ROUND(电、风、水、砂石基础单价汇总表!K9*202.5,2)</f>
        <v>46.12</v>
      </c>
      <c r="N19" s="15">
        <f t="shared" si="1"/>
        <v>46.12</v>
      </c>
      <c r="O19" s="15">
        <v>0</v>
      </c>
      <c r="P19" s="15">
        <f t="shared" si="2"/>
        <v>46.72</v>
      </c>
    </row>
    <row r="20" customHeight="1" spans="1:16">
      <c r="A20" s="6" t="s">
        <v>346</v>
      </c>
      <c r="B20" s="5" t="s">
        <v>347</v>
      </c>
      <c r="C20" s="5"/>
      <c r="D20" s="5" t="s">
        <v>348</v>
      </c>
      <c r="E20" s="15">
        <f>ROUND(1*6.87610619469027,2)</f>
        <v>6.88</v>
      </c>
      <c r="F20" s="15">
        <f>ROUND(1*9.96330275229358,2)</f>
        <v>9.96</v>
      </c>
      <c r="G20" s="15">
        <v>0</v>
      </c>
      <c r="H20" s="15">
        <f t="shared" si="0"/>
        <v>16.84</v>
      </c>
      <c r="I20" s="15">
        <f t="shared" si="4"/>
        <v>4.5</v>
      </c>
      <c r="J20" s="15">
        <v>0</v>
      </c>
      <c r="K20" s="15">
        <v>0</v>
      </c>
      <c r="L20" s="15">
        <f>ROUND(3*7.2,2)</f>
        <v>21.6</v>
      </c>
      <c r="M20" s="15">
        <v>0</v>
      </c>
      <c r="N20" s="15">
        <f t="shared" si="1"/>
        <v>26.1</v>
      </c>
      <c r="O20" s="15">
        <v>0</v>
      </c>
      <c r="P20" s="15">
        <f t="shared" si="2"/>
        <v>42.94</v>
      </c>
    </row>
    <row r="21" customHeight="1" spans="1:16">
      <c r="A21" s="6" t="s">
        <v>349</v>
      </c>
      <c r="B21" s="5" t="s">
        <v>350</v>
      </c>
      <c r="C21" s="5"/>
      <c r="D21" s="5" t="s">
        <v>348</v>
      </c>
      <c r="E21" s="15">
        <f>ROUND(1*9.49557522123894,2)</f>
        <v>9.5</v>
      </c>
      <c r="F21" s="15">
        <f>ROUND(1*4.92660550458716,2)</f>
        <v>4.93</v>
      </c>
      <c r="G21" s="15">
        <v>0</v>
      </c>
      <c r="H21" s="15">
        <f t="shared" si="0"/>
        <v>14.43</v>
      </c>
      <c r="I21" s="15">
        <f t="shared" si="4"/>
        <v>4.5</v>
      </c>
      <c r="J21" s="15">
        <f>ROUND(3*9.1,2)</f>
        <v>27.3</v>
      </c>
      <c r="K21" s="15">
        <v>0</v>
      </c>
      <c r="L21" s="15">
        <v>0</v>
      </c>
      <c r="M21" s="15">
        <v>0</v>
      </c>
      <c r="N21" s="15">
        <f t="shared" si="1"/>
        <v>31.8</v>
      </c>
      <c r="O21" s="15">
        <v>0</v>
      </c>
      <c r="P21" s="15">
        <f t="shared" si="2"/>
        <v>46.23</v>
      </c>
    </row>
    <row r="22" customHeight="1" spans="1:16">
      <c r="A22" s="6" t="s">
        <v>351</v>
      </c>
      <c r="B22" s="5" t="s">
        <v>352</v>
      </c>
      <c r="C22" s="5"/>
      <c r="D22" s="5"/>
      <c r="E22" s="15">
        <f>ROUND(1*0.230088495575221,2)</f>
        <v>0.23</v>
      </c>
      <c r="F22" s="15">
        <f>ROUND(1*0.587155963302752,2)</f>
        <v>0.59</v>
      </c>
      <c r="G22" s="15">
        <v>0</v>
      </c>
      <c r="H22" s="15">
        <f t="shared" si="0"/>
        <v>0.82</v>
      </c>
      <c r="I22" s="15">
        <v>0</v>
      </c>
      <c r="J22" s="15">
        <v>0</v>
      </c>
      <c r="K22" s="15">
        <v>0</v>
      </c>
      <c r="L22" s="15">
        <v>0</v>
      </c>
      <c r="M22" s="15">
        <v>0</v>
      </c>
      <c r="N22" s="15">
        <f t="shared" si="1"/>
        <v>0</v>
      </c>
      <c r="O22" s="15">
        <v>0</v>
      </c>
      <c r="P22" s="15">
        <f t="shared" si="2"/>
        <v>0.82</v>
      </c>
    </row>
    <row r="23" customHeight="1" spans="1:16">
      <c r="A23" s="6" t="s">
        <v>353</v>
      </c>
      <c r="B23" s="5" t="s">
        <v>354</v>
      </c>
      <c r="C23" s="5"/>
      <c r="D23" s="5" t="s">
        <v>355</v>
      </c>
      <c r="E23" s="15">
        <f>ROUND(1*11.4336283185841,2)</f>
        <v>11.43</v>
      </c>
      <c r="F23" s="15">
        <f>ROUND(1*11.394495412844,2)</f>
        <v>11.39</v>
      </c>
      <c r="G23" s="15">
        <v>0</v>
      </c>
      <c r="H23" s="15">
        <f t="shared" si="0"/>
        <v>22.82</v>
      </c>
      <c r="I23" s="15">
        <f>ROUND(3.46*2.7,2)</f>
        <v>9.34</v>
      </c>
      <c r="J23" s="15">
        <v>0</v>
      </c>
      <c r="K23" s="15">
        <v>0</v>
      </c>
      <c r="L23" s="15">
        <f>ROUND(3*5.8,2)</f>
        <v>17.4</v>
      </c>
      <c r="M23" s="15">
        <v>0</v>
      </c>
      <c r="N23" s="15">
        <f t="shared" si="1"/>
        <v>26.74</v>
      </c>
      <c r="O23" s="15">
        <v>0</v>
      </c>
      <c r="P23" s="15">
        <f t="shared" si="2"/>
        <v>49.56</v>
      </c>
    </row>
    <row r="24" customHeight="1" spans="1:16">
      <c r="A24" s="6" t="s">
        <v>356</v>
      </c>
      <c r="B24" s="5" t="s">
        <v>357</v>
      </c>
      <c r="C24" s="5"/>
      <c r="D24" s="5" t="s">
        <v>358</v>
      </c>
      <c r="E24" s="15">
        <f>ROUND(1*0.292035398230088,2)</f>
        <v>0.29</v>
      </c>
      <c r="F24" s="15">
        <f>ROUND(1*0.275229357798165,2)</f>
        <v>0.28</v>
      </c>
      <c r="G24" s="15">
        <f>ROUND(1*0.09,2)</f>
        <v>0.09</v>
      </c>
      <c r="H24" s="15">
        <f t="shared" si="0"/>
        <v>0.66</v>
      </c>
      <c r="I24" s="15">
        <v>0</v>
      </c>
      <c r="J24" s="15">
        <v>0</v>
      </c>
      <c r="K24" s="15">
        <f>ROUND(电、风、水、砂石基础单价汇总表!K7*14.5,2)</f>
        <v>10.59</v>
      </c>
      <c r="L24" s="15">
        <v>0</v>
      </c>
      <c r="M24" s="15">
        <v>0</v>
      </c>
      <c r="N24" s="15">
        <f t="shared" si="1"/>
        <v>10.59</v>
      </c>
      <c r="O24" s="15">
        <v>0</v>
      </c>
      <c r="P24" s="15">
        <f t="shared" si="2"/>
        <v>11.25</v>
      </c>
    </row>
    <row r="25" ht="18" customHeight="1" spans="1:16">
      <c r="A25" s="6" t="s">
        <v>359</v>
      </c>
      <c r="B25" s="5" t="s">
        <v>360</v>
      </c>
      <c r="C25" s="5"/>
      <c r="D25" s="5" t="s">
        <v>361</v>
      </c>
      <c r="E25" s="15">
        <f>ROUND(1*1.04424778761062,2)</f>
        <v>1.04</v>
      </c>
      <c r="F25" s="15">
        <f>ROUND(1*1.56880733944954,2)</f>
        <v>1.57</v>
      </c>
      <c r="G25" s="15">
        <f>ROUND(1*0.28,2)</f>
        <v>0.28</v>
      </c>
      <c r="H25" s="15">
        <f t="shared" si="0"/>
        <v>2.89</v>
      </c>
      <c r="I25" s="15">
        <f>ROUND(3.46*1.3,2)</f>
        <v>4.5</v>
      </c>
      <c r="J25" s="15">
        <v>0</v>
      </c>
      <c r="K25" s="15">
        <f>ROUND(电、风、水、砂石基础单价汇总表!K7*17.2,2)</f>
        <v>12.56</v>
      </c>
      <c r="L25" s="15">
        <v>0</v>
      </c>
      <c r="M25" s="15">
        <v>0</v>
      </c>
      <c r="N25" s="15">
        <f t="shared" si="1"/>
        <v>17.06</v>
      </c>
      <c r="O25" s="15">
        <v>0</v>
      </c>
      <c r="P25" s="15">
        <f t="shared" si="2"/>
        <v>19.95</v>
      </c>
    </row>
    <row r="26" ht="7.5" customHeight="1" spans="1:16">
      <c r="A26" s="3"/>
      <c r="B26" s="3"/>
      <c r="C26" s="3"/>
      <c r="D26" s="3"/>
      <c r="E26" s="3"/>
      <c r="F26" s="3"/>
      <c r="G26" s="3"/>
      <c r="H26" s="3"/>
      <c r="I26" s="3"/>
      <c r="J26" s="3"/>
      <c r="K26" s="3"/>
      <c r="L26" s="3"/>
      <c r="M26" s="3"/>
      <c r="N26" s="3"/>
      <c r="O26" s="3"/>
      <c r="P26" s="3"/>
    </row>
    <row r="27" ht="26.25" customHeight="1" spans="1:16">
      <c r="A27" s="2" t="s">
        <v>313</v>
      </c>
      <c r="B27" s="2"/>
      <c r="C27" s="2"/>
      <c r="D27" s="2"/>
      <c r="E27" s="2"/>
      <c r="F27" s="2"/>
      <c r="G27" s="2"/>
      <c r="H27" s="2"/>
      <c r="I27" s="2"/>
      <c r="J27" s="2"/>
      <c r="K27" s="2"/>
      <c r="L27" s="2"/>
      <c r="M27" s="2"/>
      <c r="N27" s="2"/>
      <c r="O27" s="2"/>
      <c r="P27" s="2"/>
    </row>
    <row r="28" customHeight="1" spans="1:16">
      <c r="A28" s="8" t="s">
        <v>46</v>
      </c>
      <c r="B28" s="8"/>
      <c r="C28" s="3"/>
      <c r="D28" s="3"/>
      <c r="E28" s="3"/>
      <c r="F28" s="3"/>
      <c r="G28" s="3"/>
      <c r="H28" s="3"/>
      <c r="I28" s="3"/>
      <c r="J28" s="3"/>
      <c r="K28" s="3"/>
      <c r="L28" s="3"/>
      <c r="M28" s="3"/>
      <c r="N28" s="3"/>
      <c r="O28" s="3"/>
      <c r="P28" s="3"/>
    </row>
    <row r="29" customHeight="1" spans="1:16">
      <c r="A29" s="8" t="s">
        <v>47</v>
      </c>
      <c r="B29" s="8"/>
      <c r="C29" s="10" t="s">
        <v>0</v>
      </c>
      <c r="D29" s="10"/>
      <c r="E29" s="10"/>
      <c r="F29" s="10"/>
      <c r="G29" s="10"/>
      <c r="H29" s="10"/>
      <c r="I29" s="10"/>
      <c r="J29" s="10"/>
      <c r="K29" s="10"/>
      <c r="L29" s="10"/>
      <c r="M29" s="10"/>
      <c r="N29" s="16" t="s">
        <v>362</v>
      </c>
      <c r="O29" s="16"/>
      <c r="P29" s="16"/>
    </row>
    <row r="30" customHeight="1" spans="1:16">
      <c r="A30" s="3" t="s">
        <v>315</v>
      </c>
      <c r="B30" s="3"/>
      <c r="C30" s="3"/>
      <c r="D30" s="3"/>
      <c r="E30" s="3"/>
      <c r="F30" s="3"/>
      <c r="G30" s="3"/>
      <c r="H30" s="3"/>
      <c r="I30" s="3"/>
      <c r="J30" s="3"/>
      <c r="K30" s="3"/>
      <c r="L30" s="3"/>
      <c r="M30" s="3"/>
      <c r="N30" s="3"/>
      <c r="O30" s="3"/>
      <c r="P30" s="3"/>
    </row>
    <row r="31" customHeight="1" spans="1:16">
      <c r="A31" s="6" t="s">
        <v>48</v>
      </c>
      <c r="B31" s="6" t="s">
        <v>316</v>
      </c>
      <c r="C31" s="6"/>
      <c r="D31" s="6" t="s">
        <v>255</v>
      </c>
      <c r="E31" s="6" t="s">
        <v>317</v>
      </c>
      <c r="F31" s="6"/>
      <c r="G31" s="6"/>
      <c r="H31" s="6"/>
      <c r="I31" s="6" t="s">
        <v>318</v>
      </c>
      <c r="J31" s="6"/>
      <c r="K31" s="6"/>
      <c r="L31" s="6"/>
      <c r="M31" s="6"/>
      <c r="N31" s="6"/>
      <c r="O31" s="6" t="s">
        <v>319</v>
      </c>
      <c r="P31" s="6" t="s">
        <v>61</v>
      </c>
    </row>
    <row r="32" customHeight="1" spans="1:16">
      <c r="A32" s="6"/>
      <c r="B32" s="6"/>
      <c r="C32" s="6"/>
      <c r="D32" s="6"/>
      <c r="E32" s="6" t="s">
        <v>320</v>
      </c>
      <c r="F32" s="6" t="s">
        <v>321</v>
      </c>
      <c r="G32" s="6" t="s">
        <v>322</v>
      </c>
      <c r="H32" s="6" t="s">
        <v>323</v>
      </c>
      <c r="I32" s="6" t="s">
        <v>324</v>
      </c>
      <c r="J32" s="6" t="s">
        <v>293</v>
      </c>
      <c r="K32" s="6" t="s">
        <v>257</v>
      </c>
      <c r="L32" s="6" t="s">
        <v>296</v>
      </c>
      <c r="M32" s="6" t="s">
        <v>256</v>
      </c>
      <c r="N32" s="6" t="s">
        <v>323</v>
      </c>
      <c r="O32" s="6"/>
      <c r="P32" s="6"/>
    </row>
    <row r="33" customHeight="1" spans="1:16">
      <c r="A33" s="6" t="s">
        <v>363</v>
      </c>
      <c r="B33" s="5" t="s">
        <v>364</v>
      </c>
      <c r="C33" s="5"/>
      <c r="D33" s="5"/>
      <c r="E33" s="15">
        <f>ROUND(1*0.353982300884956,2)</f>
        <v>0.35</v>
      </c>
      <c r="F33" s="15">
        <f>ROUND(1*1.07339449541284,2)</f>
        <v>1.07</v>
      </c>
      <c r="G33" s="15">
        <f>ROUND(1*0.05,2)</f>
        <v>0.05</v>
      </c>
      <c r="H33" s="15">
        <f>E33+F33+G33</f>
        <v>1.47</v>
      </c>
      <c r="I33" s="15">
        <f>ROUND(3.46*2.4,2)</f>
        <v>8.3</v>
      </c>
      <c r="J33" s="15">
        <v>0</v>
      </c>
      <c r="K33" s="15">
        <f>ROUND(电、风、水、砂石基础单价汇总表!K7*7.1,2)</f>
        <v>5.18</v>
      </c>
      <c r="L33" s="15">
        <v>0</v>
      </c>
      <c r="M33" s="15">
        <v>0</v>
      </c>
      <c r="N33" s="15">
        <f>I33+J33+K33+L33+M33</f>
        <v>13.48</v>
      </c>
      <c r="O33" s="15">
        <v>0</v>
      </c>
      <c r="P33" s="15">
        <f>H33+N33+O33</f>
        <v>14.95</v>
      </c>
    </row>
    <row r="34" customHeight="1" spans="1:16">
      <c r="A34" s="6" t="s">
        <v>365</v>
      </c>
      <c r="B34" s="5" t="s">
        <v>325</v>
      </c>
      <c r="C34" s="5"/>
      <c r="D34" s="5" t="s">
        <v>366</v>
      </c>
      <c r="E34" s="15">
        <f>ROUND(1*22.070796460177,2)</f>
        <v>22.07</v>
      </c>
      <c r="F34" s="15">
        <f>ROUND(1*15.0825688073394,2)</f>
        <v>15.08</v>
      </c>
      <c r="G34" s="15">
        <f>ROUND(1*1.02,2)</f>
        <v>1.02</v>
      </c>
      <c r="H34" s="15">
        <f>E34+F34+G34</f>
        <v>38.17</v>
      </c>
      <c r="I34" s="15">
        <f>ROUND(3.46*2.7,2)</f>
        <v>9.34</v>
      </c>
      <c r="J34" s="15">
        <f>ROUND(3*4.4,2)</f>
        <v>13.2</v>
      </c>
      <c r="K34" s="15">
        <v>0</v>
      </c>
      <c r="L34" s="15">
        <v>0</v>
      </c>
      <c r="M34" s="15">
        <v>0</v>
      </c>
      <c r="N34" s="15">
        <f>I34+J34+K34+L34+M34</f>
        <v>22.54</v>
      </c>
      <c r="O34" s="15">
        <v>0</v>
      </c>
      <c r="P34" s="15">
        <f>H34+N34+O34</f>
        <v>60.71</v>
      </c>
    </row>
    <row r="35" customHeight="1" spans="1:16">
      <c r="A35" s="6"/>
      <c r="B35" s="5"/>
      <c r="C35" s="5"/>
      <c r="D35" s="5"/>
      <c r="E35" s="7"/>
      <c r="F35" s="7"/>
      <c r="G35" s="7"/>
      <c r="H35" s="7"/>
      <c r="I35" s="7"/>
      <c r="J35" s="7"/>
      <c r="K35" s="7"/>
      <c r="L35" s="7"/>
      <c r="M35" s="7"/>
      <c r="N35" s="7"/>
      <c r="O35" s="7"/>
      <c r="P35" s="7"/>
    </row>
    <row r="36" customHeight="1" spans="1:16">
      <c r="A36" s="6"/>
      <c r="B36" s="5"/>
      <c r="C36" s="5"/>
      <c r="D36" s="5"/>
      <c r="E36" s="7"/>
      <c r="F36" s="7"/>
      <c r="G36" s="7"/>
      <c r="H36" s="7"/>
      <c r="I36" s="7"/>
      <c r="J36" s="7"/>
      <c r="K36" s="7"/>
      <c r="L36" s="7"/>
      <c r="M36" s="7"/>
      <c r="N36" s="7"/>
      <c r="O36" s="7"/>
      <c r="P36" s="7"/>
    </row>
    <row r="37" customHeight="1" spans="1:16">
      <c r="A37" s="6"/>
      <c r="B37" s="5"/>
      <c r="C37" s="5"/>
      <c r="D37" s="5"/>
      <c r="E37" s="7"/>
      <c r="F37" s="7"/>
      <c r="G37" s="7"/>
      <c r="H37" s="7"/>
      <c r="I37" s="7"/>
      <c r="J37" s="7"/>
      <c r="K37" s="7"/>
      <c r="L37" s="7"/>
      <c r="M37" s="7"/>
      <c r="N37" s="7"/>
      <c r="O37" s="7"/>
      <c r="P37" s="7"/>
    </row>
    <row r="38" customHeight="1" spans="1:16">
      <c r="A38" s="6"/>
      <c r="B38" s="5"/>
      <c r="C38" s="5"/>
      <c r="D38" s="5"/>
      <c r="E38" s="7"/>
      <c r="F38" s="7"/>
      <c r="G38" s="7"/>
      <c r="H38" s="7"/>
      <c r="I38" s="7"/>
      <c r="J38" s="7"/>
      <c r="K38" s="7"/>
      <c r="L38" s="7"/>
      <c r="M38" s="7"/>
      <c r="N38" s="7"/>
      <c r="O38" s="7"/>
      <c r="P38" s="7"/>
    </row>
    <row r="39" customHeight="1" spans="1:16">
      <c r="A39" s="6"/>
      <c r="B39" s="5"/>
      <c r="C39" s="5"/>
      <c r="D39" s="5"/>
      <c r="E39" s="7"/>
      <c r="F39" s="7"/>
      <c r="G39" s="7"/>
      <c r="H39" s="7"/>
      <c r="I39" s="7"/>
      <c r="J39" s="7"/>
      <c r="K39" s="7"/>
      <c r="L39" s="7"/>
      <c r="M39" s="7"/>
      <c r="N39" s="7"/>
      <c r="O39" s="7"/>
      <c r="P39" s="7"/>
    </row>
    <row r="40" customHeight="1" spans="1:16">
      <c r="A40" s="6"/>
      <c r="B40" s="5"/>
      <c r="C40" s="5"/>
      <c r="D40" s="5"/>
      <c r="E40" s="7"/>
      <c r="F40" s="7"/>
      <c r="G40" s="7"/>
      <c r="H40" s="7"/>
      <c r="I40" s="7"/>
      <c r="J40" s="7"/>
      <c r="K40" s="7"/>
      <c r="L40" s="7"/>
      <c r="M40" s="7"/>
      <c r="N40" s="7"/>
      <c r="O40" s="7"/>
      <c r="P40" s="7"/>
    </row>
    <row r="41" customHeight="1" spans="1:16">
      <c r="A41" s="6"/>
      <c r="B41" s="5"/>
      <c r="C41" s="5"/>
      <c r="D41" s="5"/>
      <c r="E41" s="7"/>
      <c r="F41" s="7"/>
      <c r="G41" s="7"/>
      <c r="H41" s="7"/>
      <c r="I41" s="7"/>
      <c r="J41" s="7"/>
      <c r="K41" s="7"/>
      <c r="L41" s="7"/>
      <c r="M41" s="7"/>
      <c r="N41" s="7"/>
      <c r="O41" s="7"/>
      <c r="P41" s="7"/>
    </row>
    <row r="42" customHeight="1" spans="1:16">
      <c r="A42" s="6"/>
      <c r="B42" s="5"/>
      <c r="C42" s="5"/>
      <c r="D42" s="5"/>
      <c r="E42" s="7"/>
      <c r="F42" s="7"/>
      <c r="G42" s="7"/>
      <c r="H42" s="7"/>
      <c r="I42" s="7"/>
      <c r="J42" s="7"/>
      <c r="K42" s="7"/>
      <c r="L42" s="7"/>
      <c r="M42" s="7"/>
      <c r="N42" s="7"/>
      <c r="O42" s="7"/>
      <c r="P42" s="7"/>
    </row>
    <row r="43" customHeight="1" spans="1:16">
      <c r="A43" s="6"/>
      <c r="B43" s="5"/>
      <c r="C43" s="5"/>
      <c r="D43" s="5"/>
      <c r="E43" s="7"/>
      <c r="F43" s="7"/>
      <c r="G43" s="7"/>
      <c r="H43" s="7"/>
      <c r="I43" s="7"/>
      <c r="J43" s="7"/>
      <c r="K43" s="7"/>
      <c r="L43" s="7"/>
      <c r="M43" s="7"/>
      <c r="N43" s="7"/>
      <c r="O43" s="7"/>
      <c r="P43" s="7"/>
    </row>
    <row r="44" customHeight="1" spans="1:16">
      <c r="A44" s="6"/>
      <c r="B44" s="5"/>
      <c r="C44" s="5"/>
      <c r="D44" s="5"/>
      <c r="E44" s="7"/>
      <c r="F44" s="7"/>
      <c r="G44" s="7"/>
      <c r="H44" s="7"/>
      <c r="I44" s="7"/>
      <c r="J44" s="7"/>
      <c r="K44" s="7"/>
      <c r="L44" s="7"/>
      <c r="M44" s="7"/>
      <c r="N44" s="7"/>
      <c r="O44" s="7"/>
      <c r="P44" s="7"/>
    </row>
    <row r="45" customHeight="1" spans="1:16">
      <c r="A45" s="6"/>
      <c r="B45" s="5"/>
      <c r="C45" s="5"/>
      <c r="D45" s="5"/>
      <c r="E45" s="7"/>
      <c r="F45" s="7"/>
      <c r="G45" s="7"/>
      <c r="H45" s="7"/>
      <c r="I45" s="7"/>
      <c r="J45" s="7"/>
      <c r="K45" s="7"/>
      <c r="L45" s="7"/>
      <c r="M45" s="7"/>
      <c r="N45" s="7"/>
      <c r="O45" s="7"/>
      <c r="P45" s="7"/>
    </row>
    <row r="46" customHeight="1" spans="1:16">
      <c r="A46" s="6"/>
      <c r="B46" s="5"/>
      <c r="C46" s="5"/>
      <c r="D46" s="5"/>
      <c r="E46" s="7"/>
      <c r="F46" s="7"/>
      <c r="G46" s="7"/>
      <c r="H46" s="7"/>
      <c r="I46" s="7"/>
      <c r="J46" s="7"/>
      <c r="K46" s="7"/>
      <c r="L46" s="7"/>
      <c r="M46" s="7"/>
      <c r="N46" s="7"/>
      <c r="O46" s="7"/>
      <c r="P46" s="7"/>
    </row>
    <row r="47" customHeight="1" spans="1:16">
      <c r="A47" s="6"/>
      <c r="B47" s="5"/>
      <c r="C47" s="5"/>
      <c r="D47" s="5"/>
      <c r="E47" s="7"/>
      <c r="F47" s="7"/>
      <c r="G47" s="7"/>
      <c r="H47" s="7"/>
      <c r="I47" s="7"/>
      <c r="J47" s="7"/>
      <c r="K47" s="7"/>
      <c r="L47" s="7"/>
      <c r="M47" s="7"/>
      <c r="N47" s="7"/>
      <c r="O47" s="7"/>
      <c r="P47" s="7"/>
    </row>
    <row r="48" customHeight="1" spans="1:16">
      <c r="A48" s="6"/>
      <c r="B48" s="5"/>
      <c r="C48" s="5"/>
      <c r="D48" s="5"/>
      <c r="E48" s="7"/>
      <c r="F48" s="7"/>
      <c r="G48" s="7"/>
      <c r="H48" s="7"/>
      <c r="I48" s="7"/>
      <c r="J48" s="7"/>
      <c r="K48" s="7"/>
      <c r="L48" s="7"/>
      <c r="M48" s="7"/>
      <c r="N48" s="7"/>
      <c r="O48" s="7"/>
      <c r="P48" s="7"/>
    </row>
    <row r="49" customHeight="1" spans="1:16">
      <c r="A49" s="6"/>
      <c r="B49" s="5"/>
      <c r="C49" s="5"/>
      <c r="D49" s="5"/>
      <c r="E49" s="7"/>
      <c r="F49" s="7"/>
      <c r="G49" s="7"/>
      <c r="H49" s="7"/>
      <c r="I49" s="7"/>
      <c r="J49" s="7"/>
      <c r="K49" s="7"/>
      <c r="L49" s="7"/>
      <c r="M49" s="7"/>
      <c r="N49" s="7"/>
      <c r="O49" s="7"/>
      <c r="P49" s="7"/>
    </row>
    <row r="50" customHeight="1" spans="1:16">
      <c r="A50" s="6"/>
      <c r="B50" s="5"/>
      <c r="C50" s="5"/>
      <c r="D50" s="5"/>
      <c r="E50" s="7"/>
      <c r="F50" s="7"/>
      <c r="G50" s="7"/>
      <c r="H50" s="7"/>
      <c r="I50" s="7"/>
      <c r="J50" s="7"/>
      <c r="K50" s="7"/>
      <c r="L50" s="7"/>
      <c r="M50" s="7"/>
      <c r="N50" s="7"/>
      <c r="O50" s="7"/>
      <c r="P50" s="7"/>
    </row>
  </sheetData>
  <mergeCells count="64">
    <mergeCell ref="A2:P2"/>
    <mergeCell ref="A3:B3"/>
    <mergeCell ref="C3:P3"/>
    <mergeCell ref="A4:B4"/>
    <mergeCell ref="C4:M4"/>
    <mergeCell ref="N4:P4"/>
    <mergeCell ref="A5:P5"/>
    <mergeCell ref="E6:H6"/>
    <mergeCell ref="I6:N6"/>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27:P27"/>
    <mergeCell ref="A28:B28"/>
    <mergeCell ref="C28:P28"/>
    <mergeCell ref="A29:B29"/>
    <mergeCell ref="C29:M29"/>
    <mergeCell ref="N29:P29"/>
    <mergeCell ref="A30:P30"/>
    <mergeCell ref="E31:H31"/>
    <mergeCell ref="I31:N31"/>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A6:A7"/>
    <mergeCell ref="A31:A32"/>
    <mergeCell ref="D6:D7"/>
    <mergeCell ref="D31:D32"/>
    <mergeCell ref="O6:O7"/>
    <mergeCell ref="O31:O32"/>
    <mergeCell ref="P6:P7"/>
    <mergeCell ref="P31:P32"/>
    <mergeCell ref="B6:C7"/>
    <mergeCell ref="B31:C32"/>
  </mergeCells>
  <printOptions horizontalCentered="1"/>
  <pageMargins left="0" right="0" top="0.90551" bottom="0" header="0.55118" footer="0.3937"/>
  <pageSetup paperSize="9" firstPageNumber="15" pageOrder="overThenDown" orientation="landscape" useFirstPageNumber="1" horizontalDpi="300" verticalDpi="300"/>
  <headerFooter alignWithMargins="0" scaleWithDoc="0">
    <oddFooter>&amp;C&amp;P</oddFooter>
  </headerFooter>
  <rowBreaks count="1" manualBreakCount="1">
    <brk id="25" max="255"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697"/>
  <sheetViews>
    <sheetView zoomScaleSheetLayoutView="60" workbookViewId="0">
      <selection activeCell="A1" sqref="A1"/>
    </sheetView>
  </sheetViews>
  <sheetFormatPr defaultColWidth="11" defaultRowHeight="18.75" customHeight="1"/>
  <cols>
    <col min="1" max="1" width="8.75" style="1" customWidth="1"/>
    <col min="2" max="2" width="18.5" style="1" customWidth="1"/>
    <col min="3" max="3" width="9" style="1" customWidth="1"/>
    <col min="4" max="7" width="2.5" style="1" customWidth="1"/>
    <col min="8" max="8" width="5.625" style="1" customWidth="1"/>
    <col min="9" max="9" width="8.125" style="1" customWidth="1"/>
    <col min="10" max="10" width="8.75" style="1" customWidth="1"/>
    <col min="11" max="11" width="9.375" style="1" customWidth="1"/>
    <col min="12" max="12" width="9.625" style="1" customWidth="1"/>
    <col min="13" max="16384" width="11" style="1"/>
  </cols>
  <sheetData>
    <row r="1" ht="7.5" customHeight="1" spans="1:11">
      <c r="A1" s="3"/>
      <c r="B1" s="3"/>
      <c r="C1" s="3"/>
      <c r="D1" s="3"/>
      <c r="E1" s="3"/>
      <c r="F1" s="3"/>
      <c r="G1" s="3"/>
      <c r="H1" s="3"/>
      <c r="I1" s="3"/>
      <c r="J1" s="3"/>
      <c r="K1" s="3"/>
    </row>
    <row r="2" ht="26.25" customHeight="1" spans="1:11">
      <c r="A2" s="2" t="s">
        <v>367</v>
      </c>
      <c r="B2" s="2"/>
      <c r="C2" s="2"/>
      <c r="D2" s="2"/>
      <c r="E2" s="2"/>
      <c r="F2" s="2"/>
      <c r="G2" s="2"/>
      <c r="H2" s="2"/>
      <c r="I2" s="2"/>
      <c r="J2" s="2"/>
      <c r="K2" s="2"/>
    </row>
    <row r="3" customHeight="1" spans="1:11">
      <c r="A3" s="11" t="s">
        <v>368</v>
      </c>
      <c r="B3" s="11"/>
      <c r="C3" s="11"/>
      <c r="D3" s="11"/>
      <c r="E3" s="11"/>
      <c r="F3" s="11"/>
      <c r="G3" s="11"/>
      <c r="H3" s="11"/>
      <c r="I3" s="11"/>
      <c r="J3" s="11"/>
      <c r="K3" s="11"/>
    </row>
    <row r="4" customHeight="1" spans="1:11">
      <c r="A4" s="8" t="s">
        <v>369</v>
      </c>
      <c r="B4" s="3" t="s">
        <v>51</v>
      </c>
      <c r="C4" s="3"/>
      <c r="D4" s="3"/>
      <c r="E4" s="3"/>
      <c r="F4" s="3"/>
      <c r="G4" s="3"/>
      <c r="H4" s="12" t="s">
        <v>370</v>
      </c>
      <c r="I4" s="12"/>
      <c r="J4" s="12"/>
      <c r="K4" s="12"/>
    </row>
    <row r="5" ht="27.75" customHeight="1" spans="1:11">
      <c r="A5" s="13" t="s">
        <v>371</v>
      </c>
      <c r="B5" s="14" t="s">
        <v>372</v>
      </c>
      <c r="C5" s="14"/>
      <c r="D5" s="14"/>
      <c r="E5" s="14"/>
      <c r="F5" s="14"/>
      <c r="G5" s="14"/>
      <c r="H5" s="14"/>
      <c r="I5" s="14"/>
      <c r="J5" s="14"/>
      <c r="K5" s="14"/>
    </row>
    <row r="6" customHeight="1" spans="1:11">
      <c r="A6" s="6" t="s">
        <v>48</v>
      </c>
      <c r="B6" s="6" t="s">
        <v>254</v>
      </c>
      <c r="C6" s="6" t="s">
        <v>255</v>
      </c>
      <c r="D6" s="6"/>
      <c r="E6" s="6"/>
      <c r="F6" s="6"/>
      <c r="G6" s="6" t="s">
        <v>282</v>
      </c>
      <c r="H6" s="6"/>
      <c r="I6" s="6" t="s">
        <v>373</v>
      </c>
      <c r="J6" s="6" t="s">
        <v>374</v>
      </c>
      <c r="K6" s="6" t="s">
        <v>375</v>
      </c>
    </row>
    <row r="7" customHeight="1" spans="1:11">
      <c r="A7" s="6" t="s">
        <v>51</v>
      </c>
      <c r="B7" s="5" t="s">
        <v>376</v>
      </c>
      <c r="C7" s="5"/>
      <c r="D7" s="5"/>
      <c r="E7" s="5"/>
      <c r="F7" s="5"/>
      <c r="G7" s="6" t="s">
        <v>377</v>
      </c>
      <c r="H7" s="6"/>
      <c r="I7" s="7"/>
      <c r="J7" s="7"/>
      <c r="K7" s="15">
        <f>K8+K10+K12+K14+K15</f>
        <v>359.75</v>
      </c>
    </row>
    <row r="8" customHeight="1" spans="1:11">
      <c r="A8" s="6" t="s">
        <v>72</v>
      </c>
      <c r="B8" s="5" t="s">
        <v>199</v>
      </c>
      <c r="C8" s="5"/>
      <c r="D8" s="5"/>
      <c r="E8" s="5"/>
      <c r="F8" s="5"/>
      <c r="G8" s="6" t="s">
        <v>377</v>
      </c>
      <c r="H8" s="6"/>
      <c r="I8" s="7"/>
      <c r="J8" s="7"/>
      <c r="K8" s="15">
        <f t="shared" ref="K8:K12" si="0">SUM(K9:K9)</f>
        <v>27.68</v>
      </c>
    </row>
    <row r="9" customHeight="1" spans="1:11">
      <c r="A9" s="6"/>
      <c r="B9" s="5" t="s">
        <v>324</v>
      </c>
      <c r="C9" s="5"/>
      <c r="D9" s="5"/>
      <c r="E9" s="5"/>
      <c r="F9" s="5"/>
      <c r="G9" s="6" t="s">
        <v>378</v>
      </c>
      <c r="H9" s="6"/>
      <c r="I9" s="7">
        <v>8</v>
      </c>
      <c r="J9" s="15">
        <v>3.46</v>
      </c>
      <c r="K9" s="15">
        <f t="shared" ref="K9:K18" si="1">ROUND(I9*J9,2)</f>
        <v>27.68</v>
      </c>
    </row>
    <row r="10" customHeight="1" spans="1:11">
      <c r="A10" s="6" t="s">
        <v>131</v>
      </c>
      <c r="B10" s="5" t="s">
        <v>200</v>
      </c>
      <c r="C10" s="5"/>
      <c r="D10" s="5"/>
      <c r="E10" s="5"/>
      <c r="F10" s="5"/>
      <c r="G10" s="6" t="s">
        <v>377</v>
      </c>
      <c r="H10" s="6"/>
      <c r="I10" s="7"/>
      <c r="J10" s="7"/>
      <c r="K10" s="15">
        <f t="shared" si="0"/>
        <v>30.14</v>
      </c>
    </row>
    <row r="11" customHeight="1" spans="1:11">
      <c r="A11" s="6"/>
      <c r="B11" s="5" t="s">
        <v>379</v>
      </c>
      <c r="C11" s="5"/>
      <c r="D11" s="5"/>
      <c r="E11" s="5"/>
      <c r="F11" s="5"/>
      <c r="G11" s="6" t="s">
        <v>380</v>
      </c>
      <c r="H11" s="6"/>
      <c r="I11" s="7">
        <v>10</v>
      </c>
      <c r="J11" s="15">
        <f>K9+K13</f>
        <v>301.43</v>
      </c>
      <c r="K11" s="15">
        <f>ROUND(I11*J11/100,2)</f>
        <v>30.14</v>
      </c>
    </row>
    <row r="12" customHeight="1" spans="1:11">
      <c r="A12" s="6" t="s">
        <v>381</v>
      </c>
      <c r="B12" s="5" t="s">
        <v>382</v>
      </c>
      <c r="C12" s="5"/>
      <c r="D12" s="5"/>
      <c r="E12" s="5"/>
      <c r="F12" s="5"/>
      <c r="G12" s="6" t="s">
        <v>377</v>
      </c>
      <c r="H12" s="6"/>
      <c r="I12" s="7"/>
      <c r="J12" s="7"/>
      <c r="K12" s="15">
        <f t="shared" si="0"/>
        <v>273.75</v>
      </c>
    </row>
    <row r="13" customHeight="1" spans="1:11">
      <c r="A13" s="6"/>
      <c r="B13" s="5" t="s">
        <v>327</v>
      </c>
      <c r="C13" s="5" t="s">
        <v>328</v>
      </c>
      <c r="D13" s="5"/>
      <c r="E13" s="5"/>
      <c r="F13" s="5"/>
      <c r="G13" s="6" t="s">
        <v>383</v>
      </c>
      <c r="H13" s="6"/>
      <c r="I13" s="7">
        <v>5.45</v>
      </c>
      <c r="J13" s="15">
        <f>施工机械台时费汇总表!P9</f>
        <v>50.23</v>
      </c>
      <c r="K13" s="15">
        <f t="shared" si="1"/>
        <v>273.75</v>
      </c>
    </row>
    <row r="14" customHeight="1" spans="1:11">
      <c r="A14" s="6" t="s">
        <v>384</v>
      </c>
      <c r="B14" s="5" t="s">
        <v>385</v>
      </c>
      <c r="C14" s="5"/>
      <c r="D14" s="5"/>
      <c r="E14" s="5"/>
      <c r="F14" s="5"/>
      <c r="G14" s="6" t="s">
        <v>377</v>
      </c>
      <c r="H14" s="6"/>
      <c r="I14" s="7" t="str">
        <f>'工程单价费(税)率汇总表'!D8&amp;"%"</f>
        <v>4.5%</v>
      </c>
      <c r="J14" s="15">
        <f>K8+K10+K12</f>
        <v>331.57</v>
      </c>
      <c r="K14" s="15">
        <f t="shared" si="1"/>
        <v>14.92</v>
      </c>
    </row>
    <row r="15" customHeight="1" spans="1:11">
      <c r="A15" s="6" t="s">
        <v>386</v>
      </c>
      <c r="B15" s="5" t="s">
        <v>387</v>
      </c>
      <c r="C15" s="5"/>
      <c r="D15" s="5"/>
      <c r="E15" s="5"/>
      <c r="F15" s="5"/>
      <c r="G15" s="6" t="s">
        <v>377</v>
      </c>
      <c r="H15" s="6"/>
      <c r="I15" s="7" t="str">
        <f>'工程单价费(税)率汇总表'!E8&amp;"%"</f>
        <v>4%</v>
      </c>
      <c r="J15" s="15">
        <f>K8+K10+K12</f>
        <v>331.57</v>
      </c>
      <c r="K15" s="15">
        <f t="shared" si="1"/>
        <v>13.26</v>
      </c>
    </row>
    <row r="16" customHeight="1" spans="1:11">
      <c r="A16" s="6" t="s">
        <v>53</v>
      </c>
      <c r="B16" s="5" t="s">
        <v>388</v>
      </c>
      <c r="C16" s="5"/>
      <c r="D16" s="5"/>
      <c r="E16" s="5"/>
      <c r="F16" s="5"/>
      <c r="G16" s="6" t="s">
        <v>377</v>
      </c>
      <c r="H16" s="6"/>
      <c r="I16" s="7" t="str">
        <f>'工程单价费(税)率汇总表'!F8&amp;"%"</f>
        <v>3.7%</v>
      </c>
      <c r="J16" s="15">
        <f>K7</f>
        <v>359.75</v>
      </c>
      <c r="K16" s="15">
        <f t="shared" si="1"/>
        <v>13.31</v>
      </c>
    </row>
    <row r="17" customHeight="1" spans="1:11">
      <c r="A17" s="6" t="s">
        <v>55</v>
      </c>
      <c r="B17" s="5" t="s">
        <v>216</v>
      </c>
      <c r="C17" s="5"/>
      <c r="D17" s="5"/>
      <c r="E17" s="5"/>
      <c r="F17" s="5"/>
      <c r="G17" s="6" t="s">
        <v>377</v>
      </c>
      <c r="H17" s="6"/>
      <c r="I17" s="7" t="str">
        <f>'工程单价费(税)率汇总表'!G8&amp;"%"</f>
        <v>32.8%</v>
      </c>
      <c r="J17" s="15">
        <f>K8+ROUND(I13*2.4*3.46,2)</f>
        <v>72.94</v>
      </c>
      <c r="K17" s="15">
        <f t="shared" si="1"/>
        <v>23.92</v>
      </c>
    </row>
    <row r="18" customHeight="1" spans="1:11">
      <c r="A18" s="6" t="s">
        <v>57</v>
      </c>
      <c r="B18" s="5" t="s">
        <v>389</v>
      </c>
      <c r="C18" s="5"/>
      <c r="D18" s="5"/>
      <c r="E18" s="5"/>
      <c r="F18" s="5"/>
      <c r="G18" s="6" t="s">
        <v>377</v>
      </c>
      <c r="H18" s="6"/>
      <c r="I18" s="7" t="str">
        <f>'工程单价费(税)率汇总表'!H8&amp;"%"</f>
        <v>7%</v>
      </c>
      <c r="J18" s="15">
        <f>K7+K16+K17</f>
        <v>396.98</v>
      </c>
      <c r="K18" s="15">
        <f t="shared" si="1"/>
        <v>27.79</v>
      </c>
    </row>
    <row r="19" customHeight="1" spans="1:11">
      <c r="A19" s="6" t="s">
        <v>59</v>
      </c>
      <c r="B19" s="5" t="s">
        <v>207</v>
      </c>
      <c r="C19" s="5"/>
      <c r="D19" s="5"/>
      <c r="E19" s="5"/>
      <c r="F19" s="5"/>
      <c r="G19" s="6" t="s">
        <v>377</v>
      </c>
      <c r="H19" s="6"/>
      <c r="I19" s="7"/>
      <c r="J19" s="7"/>
      <c r="K19" s="15">
        <f>SUM(K20:K22)</f>
        <v>277.64</v>
      </c>
    </row>
    <row r="20" customHeight="1" spans="1:11">
      <c r="A20" s="6"/>
      <c r="B20" s="5" t="s">
        <v>324</v>
      </c>
      <c r="C20" s="5"/>
      <c r="D20" s="5"/>
      <c r="E20" s="5"/>
      <c r="F20" s="5"/>
      <c r="G20" s="6" t="s">
        <v>378</v>
      </c>
      <c r="H20" s="6"/>
      <c r="I20" s="7">
        <f>I9</f>
        <v>8</v>
      </c>
      <c r="J20" s="15">
        <v>4</v>
      </c>
      <c r="K20" s="15">
        <f t="shared" ref="K20:K24" si="2">ROUND(I20*J20,2)</f>
        <v>32</v>
      </c>
    </row>
    <row r="21" customHeight="1" spans="1:11">
      <c r="A21" s="6"/>
      <c r="B21" s="5" t="s">
        <v>390</v>
      </c>
      <c r="C21" s="5"/>
      <c r="D21" s="5"/>
      <c r="E21" s="5"/>
      <c r="F21" s="5"/>
      <c r="G21" s="6" t="s">
        <v>378</v>
      </c>
      <c r="H21" s="6"/>
      <c r="I21" s="7">
        <f>I13*2.4</f>
        <v>13.08</v>
      </c>
      <c r="J21" s="15">
        <v>4</v>
      </c>
      <c r="K21" s="15">
        <f t="shared" si="2"/>
        <v>52.32</v>
      </c>
    </row>
    <row r="22" customHeight="1" spans="1:11">
      <c r="A22" s="6"/>
      <c r="B22" s="5" t="s">
        <v>293</v>
      </c>
      <c r="C22" s="5" t="s">
        <v>294</v>
      </c>
      <c r="D22" s="5"/>
      <c r="E22" s="5"/>
      <c r="F22" s="5"/>
      <c r="G22" s="6" t="s">
        <v>285</v>
      </c>
      <c r="H22" s="6"/>
      <c r="I22" s="7">
        <f>I13*7.9</f>
        <v>43.055</v>
      </c>
      <c r="J22" s="15">
        <v>4.49</v>
      </c>
      <c r="K22" s="15">
        <f t="shared" si="2"/>
        <v>193.32</v>
      </c>
    </row>
    <row r="23" customHeight="1" spans="1:11">
      <c r="A23" s="6" t="s">
        <v>227</v>
      </c>
      <c r="B23" s="5" t="s">
        <v>208</v>
      </c>
      <c r="C23" s="5"/>
      <c r="D23" s="5"/>
      <c r="E23" s="5"/>
      <c r="F23" s="5"/>
      <c r="G23" s="6" t="s">
        <v>377</v>
      </c>
      <c r="H23" s="6"/>
      <c r="I23" s="7" t="str">
        <f>'工程单价费(税)率汇总表'!I8&amp;"%"</f>
        <v>0%</v>
      </c>
      <c r="J23" s="15">
        <f>K7+K16+K17+K18+K19</f>
        <v>702.41</v>
      </c>
      <c r="K23" s="15">
        <f t="shared" si="2"/>
        <v>0</v>
      </c>
    </row>
    <row r="24" customHeight="1" spans="1:11">
      <c r="A24" s="6" t="s">
        <v>223</v>
      </c>
      <c r="B24" s="5" t="s">
        <v>209</v>
      </c>
      <c r="C24" s="5"/>
      <c r="D24" s="5"/>
      <c r="E24" s="5"/>
      <c r="F24" s="5"/>
      <c r="G24" s="6" t="s">
        <v>377</v>
      </c>
      <c r="H24" s="6"/>
      <c r="I24" s="7" t="str">
        <f>'工程单价费(税)率汇总表'!J8&amp;"%"</f>
        <v>9%</v>
      </c>
      <c r="J24" s="15">
        <f>K7+K16+K17+K18+K19+K23</f>
        <v>702.41</v>
      </c>
      <c r="K24" s="15">
        <f t="shared" si="2"/>
        <v>63.22</v>
      </c>
    </row>
    <row r="25" customHeight="1" spans="1:11">
      <c r="A25" s="6"/>
      <c r="B25" s="5" t="s">
        <v>61</v>
      </c>
      <c r="C25" s="5"/>
      <c r="D25" s="5"/>
      <c r="E25" s="5"/>
      <c r="F25" s="5"/>
      <c r="G25" s="6" t="s">
        <v>377</v>
      </c>
      <c r="H25" s="6"/>
      <c r="I25" s="7"/>
      <c r="J25" s="7"/>
      <c r="K25" s="15">
        <f>K7+K16+K17+K18+K19+K23+K24</f>
        <v>765.63</v>
      </c>
    </row>
    <row r="26" customHeight="1" spans="1:11">
      <c r="A26" s="6"/>
      <c r="B26" s="5" t="s">
        <v>391</v>
      </c>
      <c r="C26" s="5"/>
      <c r="D26" s="5"/>
      <c r="E26" s="5"/>
      <c r="F26" s="5"/>
      <c r="G26" s="6" t="s">
        <v>377</v>
      </c>
      <c r="H26" s="6"/>
      <c r="I26" s="7"/>
      <c r="J26" s="7"/>
      <c r="K26" s="15">
        <f>ROUND(K25/1000,2)</f>
        <v>0.77</v>
      </c>
    </row>
    <row r="27" customHeight="1" spans="1:11">
      <c r="A27" s="6"/>
      <c r="B27" s="5"/>
      <c r="C27" s="5"/>
      <c r="D27" s="5"/>
      <c r="E27" s="5"/>
      <c r="F27" s="5"/>
      <c r="G27" s="6"/>
      <c r="H27" s="6"/>
      <c r="I27" s="7"/>
      <c r="J27" s="7"/>
      <c r="K27" s="7"/>
    </row>
    <row r="28" customHeight="1" spans="1:11">
      <c r="A28" s="6"/>
      <c r="B28" s="5"/>
      <c r="C28" s="5"/>
      <c r="D28" s="5"/>
      <c r="E28" s="5"/>
      <c r="F28" s="5"/>
      <c r="G28" s="6"/>
      <c r="H28" s="6"/>
      <c r="I28" s="7"/>
      <c r="J28" s="7"/>
      <c r="K28" s="7"/>
    </row>
    <row r="29" customHeight="1" spans="1:11">
      <c r="A29" s="6"/>
      <c r="B29" s="5"/>
      <c r="C29" s="5"/>
      <c r="D29" s="5"/>
      <c r="E29" s="5"/>
      <c r="F29" s="5"/>
      <c r="G29" s="6"/>
      <c r="H29" s="6"/>
      <c r="I29" s="7"/>
      <c r="J29" s="7"/>
      <c r="K29" s="7"/>
    </row>
    <row r="30" customHeight="1" spans="1:11">
      <c r="A30" s="6"/>
      <c r="B30" s="5"/>
      <c r="C30" s="5"/>
      <c r="D30" s="5"/>
      <c r="E30" s="5"/>
      <c r="F30" s="5"/>
      <c r="G30" s="6"/>
      <c r="H30" s="6"/>
      <c r="I30" s="7"/>
      <c r="J30" s="7"/>
      <c r="K30" s="7"/>
    </row>
    <row r="31" customHeight="1" spans="1:11">
      <c r="A31" s="6"/>
      <c r="B31" s="5"/>
      <c r="C31" s="5"/>
      <c r="D31" s="5"/>
      <c r="E31" s="5"/>
      <c r="F31" s="5"/>
      <c r="G31" s="6"/>
      <c r="H31" s="6"/>
      <c r="I31" s="7"/>
      <c r="J31" s="7"/>
      <c r="K31" s="7"/>
    </row>
    <row r="32" customHeight="1" spans="1:11">
      <c r="A32" s="6"/>
      <c r="B32" s="5"/>
      <c r="C32" s="5"/>
      <c r="D32" s="5"/>
      <c r="E32" s="5"/>
      <c r="F32" s="5"/>
      <c r="G32" s="6"/>
      <c r="H32" s="6"/>
      <c r="I32" s="7"/>
      <c r="J32" s="7"/>
      <c r="K32" s="7"/>
    </row>
    <row r="33" customHeight="1" spans="1:11">
      <c r="A33" s="6"/>
      <c r="B33" s="5"/>
      <c r="C33" s="5"/>
      <c r="D33" s="5"/>
      <c r="E33" s="5"/>
      <c r="F33" s="5"/>
      <c r="G33" s="6"/>
      <c r="H33" s="6"/>
      <c r="I33" s="7"/>
      <c r="J33" s="7"/>
      <c r="K33" s="7"/>
    </row>
    <row r="34" customHeight="1" spans="1:11">
      <c r="A34" s="6"/>
      <c r="B34" s="5"/>
      <c r="C34" s="5"/>
      <c r="D34" s="5"/>
      <c r="E34" s="5"/>
      <c r="F34" s="5"/>
      <c r="G34" s="6"/>
      <c r="H34" s="6"/>
      <c r="I34" s="7"/>
      <c r="J34" s="7"/>
      <c r="K34" s="7"/>
    </row>
    <row r="35" customHeight="1" spans="1:11">
      <c r="A35" s="6"/>
      <c r="B35" s="5"/>
      <c r="C35" s="5"/>
      <c r="D35" s="5"/>
      <c r="E35" s="5"/>
      <c r="F35" s="5"/>
      <c r="G35" s="6"/>
      <c r="H35" s="6"/>
      <c r="I35" s="7"/>
      <c r="J35" s="7"/>
      <c r="K35" s="7"/>
    </row>
    <row r="36" customHeight="1" spans="1:11">
      <c r="A36" s="6"/>
      <c r="B36" s="5"/>
      <c r="C36" s="5"/>
      <c r="D36" s="5"/>
      <c r="E36" s="5"/>
      <c r="F36" s="5"/>
      <c r="G36" s="6"/>
      <c r="H36" s="6"/>
      <c r="I36" s="7"/>
      <c r="J36" s="7"/>
      <c r="K36" s="7"/>
    </row>
    <row r="37" customHeight="1" spans="1:11">
      <c r="A37" s="6"/>
      <c r="B37" s="5"/>
      <c r="C37" s="5"/>
      <c r="D37" s="5"/>
      <c r="E37" s="5"/>
      <c r="F37" s="5"/>
      <c r="G37" s="6"/>
      <c r="H37" s="6"/>
      <c r="I37" s="7"/>
      <c r="J37" s="7"/>
      <c r="K37" s="7"/>
    </row>
    <row r="38" ht="7.5" customHeight="1" spans="1:11">
      <c r="A38" s="3"/>
      <c r="B38" s="3"/>
      <c r="C38" s="3"/>
      <c r="D38" s="3"/>
      <c r="E38" s="3"/>
      <c r="F38" s="3"/>
      <c r="G38" s="3"/>
      <c r="H38" s="3"/>
      <c r="I38" s="3"/>
      <c r="J38" s="3"/>
      <c r="K38" s="3"/>
    </row>
    <row r="39" ht="26.25" customHeight="1" spans="1:11">
      <c r="A39" s="2" t="s">
        <v>367</v>
      </c>
      <c r="B39" s="2"/>
      <c r="C39" s="2"/>
      <c r="D39" s="2"/>
      <c r="E39" s="2"/>
      <c r="F39" s="2"/>
      <c r="G39" s="2"/>
      <c r="H39" s="2"/>
      <c r="I39" s="2"/>
      <c r="J39" s="2"/>
      <c r="K39" s="2"/>
    </row>
    <row r="40" customHeight="1" spans="1:11">
      <c r="A40" s="11" t="s">
        <v>392</v>
      </c>
      <c r="B40" s="11"/>
      <c r="C40" s="11"/>
      <c r="D40" s="11"/>
      <c r="E40" s="11"/>
      <c r="F40" s="11"/>
      <c r="G40" s="11"/>
      <c r="H40" s="11"/>
      <c r="I40" s="11"/>
      <c r="J40" s="11"/>
      <c r="K40" s="11"/>
    </row>
    <row r="41" customHeight="1" spans="1:11">
      <c r="A41" s="8" t="s">
        <v>369</v>
      </c>
      <c r="B41" s="3" t="s">
        <v>55</v>
      </c>
      <c r="C41" s="3"/>
      <c r="D41" s="3"/>
      <c r="E41" s="3"/>
      <c r="F41" s="3"/>
      <c r="G41" s="3"/>
      <c r="H41" s="12" t="s">
        <v>393</v>
      </c>
      <c r="I41" s="12"/>
      <c r="J41" s="12"/>
      <c r="K41" s="12"/>
    </row>
    <row r="42" ht="27.75" customHeight="1" spans="1:11">
      <c r="A42" s="13" t="s">
        <v>371</v>
      </c>
      <c r="B42" s="14" t="s">
        <v>394</v>
      </c>
      <c r="C42" s="14"/>
      <c r="D42" s="14"/>
      <c r="E42" s="14"/>
      <c r="F42" s="14"/>
      <c r="G42" s="14"/>
      <c r="H42" s="14"/>
      <c r="I42" s="14"/>
      <c r="J42" s="14"/>
      <c r="K42" s="14"/>
    </row>
    <row r="43" customHeight="1" spans="1:11">
      <c r="A43" s="6" t="s">
        <v>48</v>
      </c>
      <c r="B43" s="6" t="s">
        <v>254</v>
      </c>
      <c r="C43" s="6" t="s">
        <v>255</v>
      </c>
      <c r="D43" s="6"/>
      <c r="E43" s="6"/>
      <c r="F43" s="6"/>
      <c r="G43" s="6" t="s">
        <v>282</v>
      </c>
      <c r="H43" s="6"/>
      <c r="I43" s="6" t="s">
        <v>373</v>
      </c>
      <c r="J43" s="6" t="s">
        <v>374</v>
      </c>
      <c r="K43" s="6" t="s">
        <v>375</v>
      </c>
    </row>
    <row r="44" customHeight="1" spans="1:11">
      <c r="A44" s="6" t="s">
        <v>51</v>
      </c>
      <c r="B44" s="5" t="s">
        <v>376</v>
      </c>
      <c r="C44" s="5"/>
      <c r="D44" s="5"/>
      <c r="E44" s="5"/>
      <c r="F44" s="5"/>
      <c r="G44" s="6" t="s">
        <v>377</v>
      </c>
      <c r="H44" s="6"/>
      <c r="I44" s="7"/>
      <c r="J44" s="7"/>
      <c r="K44" s="15">
        <f>K45+K47+K49+K51+K52</f>
        <v>497.42</v>
      </c>
    </row>
    <row r="45" customHeight="1" spans="1:11">
      <c r="A45" s="6" t="s">
        <v>72</v>
      </c>
      <c r="B45" s="5" t="s">
        <v>199</v>
      </c>
      <c r="C45" s="5"/>
      <c r="D45" s="5"/>
      <c r="E45" s="5"/>
      <c r="F45" s="5"/>
      <c r="G45" s="6" t="s">
        <v>377</v>
      </c>
      <c r="H45" s="6"/>
      <c r="I45" s="7"/>
      <c r="J45" s="7"/>
      <c r="K45" s="15">
        <f t="shared" ref="K45:K49" si="3">SUM(K46:K46)</f>
        <v>181.03</v>
      </c>
    </row>
    <row r="46" customHeight="1" spans="1:11">
      <c r="A46" s="6"/>
      <c r="B46" s="5" t="s">
        <v>324</v>
      </c>
      <c r="C46" s="5"/>
      <c r="D46" s="5"/>
      <c r="E46" s="5"/>
      <c r="F46" s="5"/>
      <c r="G46" s="6" t="s">
        <v>378</v>
      </c>
      <c r="H46" s="6"/>
      <c r="I46" s="7">
        <v>52.32</v>
      </c>
      <c r="J46" s="15">
        <v>3.46</v>
      </c>
      <c r="K46" s="15">
        <f t="shared" ref="K46:K55" si="4">ROUND(I46*J46,2)</f>
        <v>181.03</v>
      </c>
    </row>
    <row r="47" customHeight="1" spans="1:11">
      <c r="A47" s="6" t="s">
        <v>131</v>
      </c>
      <c r="B47" s="5" t="s">
        <v>200</v>
      </c>
      <c r="C47" s="5"/>
      <c r="D47" s="5"/>
      <c r="E47" s="5"/>
      <c r="F47" s="5"/>
      <c r="G47" s="6" t="s">
        <v>377</v>
      </c>
      <c r="H47" s="6"/>
      <c r="I47" s="7"/>
      <c r="J47" s="7"/>
      <c r="K47" s="15">
        <f t="shared" si="3"/>
        <v>21.83</v>
      </c>
    </row>
    <row r="48" customHeight="1" spans="1:11">
      <c r="A48" s="6"/>
      <c r="B48" s="5" t="s">
        <v>379</v>
      </c>
      <c r="C48" s="5"/>
      <c r="D48" s="5"/>
      <c r="E48" s="5"/>
      <c r="F48" s="5"/>
      <c r="G48" s="6" t="s">
        <v>380</v>
      </c>
      <c r="H48" s="6"/>
      <c r="I48" s="7">
        <v>5</v>
      </c>
      <c r="J48" s="15">
        <f>K46+K50</f>
        <v>436.62</v>
      </c>
      <c r="K48" s="15">
        <f>ROUND(I48*J48/100,2)</f>
        <v>21.83</v>
      </c>
    </row>
    <row r="49" customHeight="1" spans="1:11">
      <c r="A49" s="6" t="s">
        <v>381</v>
      </c>
      <c r="B49" s="5" t="s">
        <v>382</v>
      </c>
      <c r="C49" s="5"/>
      <c r="D49" s="5"/>
      <c r="E49" s="5"/>
      <c r="F49" s="5"/>
      <c r="G49" s="6" t="s">
        <v>377</v>
      </c>
      <c r="H49" s="6"/>
      <c r="I49" s="7"/>
      <c r="J49" s="7"/>
      <c r="K49" s="15">
        <f t="shared" si="3"/>
        <v>255.59</v>
      </c>
    </row>
    <row r="50" customHeight="1" spans="1:11">
      <c r="A50" s="6"/>
      <c r="B50" s="5" t="s">
        <v>325</v>
      </c>
      <c r="C50" s="5" t="s">
        <v>366</v>
      </c>
      <c r="D50" s="5"/>
      <c r="E50" s="5"/>
      <c r="F50" s="5"/>
      <c r="G50" s="6" t="s">
        <v>383</v>
      </c>
      <c r="H50" s="6"/>
      <c r="I50" s="7">
        <v>4.21</v>
      </c>
      <c r="J50" s="15">
        <f>施工机械台时费汇总表!P34</f>
        <v>60.71</v>
      </c>
      <c r="K50" s="15">
        <f t="shared" si="4"/>
        <v>255.59</v>
      </c>
    </row>
    <row r="51" customHeight="1" spans="1:11">
      <c r="A51" s="6" t="s">
        <v>384</v>
      </c>
      <c r="B51" s="5" t="s">
        <v>385</v>
      </c>
      <c r="C51" s="5"/>
      <c r="D51" s="5"/>
      <c r="E51" s="5"/>
      <c r="F51" s="5"/>
      <c r="G51" s="6" t="s">
        <v>377</v>
      </c>
      <c r="H51" s="6"/>
      <c r="I51" s="7" t="str">
        <f>'工程单价费(税)率汇总表'!D8&amp;"%"</f>
        <v>4.5%</v>
      </c>
      <c r="J51" s="15">
        <f>K45+K47+K49</f>
        <v>458.45</v>
      </c>
      <c r="K51" s="15">
        <f t="shared" si="4"/>
        <v>20.63</v>
      </c>
    </row>
    <row r="52" customHeight="1" spans="1:11">
      <c r="A52" s="6" t="s">
        <v>386</v>
      </c>
      <c r="B52" s="5" t="s">
        <v>387</v>
      </c>
      <c r="C52" s="5"/>
      <c r="D52" s="5"/>
      <c r="E52" s="5"/>
      <c r="F52" s="5"/>
      <c r="G52" s="6" t="s">
        <v>377</v>
      </c>
      <c r="H52" s="6"/>
      <c r="I52" s="7" t="str">
        <f>'工程单价费(税)率汇总表'!E8&amp;"%"</f>
        <v>4%</v>
      </c>
      <c r="J52" s="15">
        <f>K45+K47+K49</f>
        <v>458.45</v>
      </c>
      <c r="K52" s="15">
        <f t="shared" si="4"/>
        <v>18.34</v>
      </c>
    </row>
    <row r="53" customHeight="1" spans="1:11">
      <c r="A53" s="6" t="s">
        <v>53</v>
      </c>
      <c r="B53" s="5" t="s">
        <v>388</v>
      </c>
      <c r="C53" s="5"/>
      <c r="D53" s="5"/>
      <c r="E53" s="5"/>
      <c r="F53" s="5"/>
      <c r="G53" s="6" t="s">
        <v>377</v>
      </c>
      <c r="H53" s="6"/>
      <c r="I53" s="7" t="str">
        <f>'工程单价费(税)率汇总表'!F8&amp;"%"</f>
        <v>3.7%</v>
      </c>
      <c r="J53" s="15">
        <f>K44</f>
        <v>497.42</v>
      </c>
      <c r="K53" s="15">
        <f t="shared" si="4"/>
        <v>18.4</v>
      </c>
    </row>
    <row r="54" customHeight="1" spans="1:11">
      <c r="A54" s="6" t="s">
        <v>55</v>
      </c>
      <c r="B54" s="5" t="s">
        <v>216</v>
      </c>
      <c r="C54" s="5"/>
      <c r="D54" s="5"/>
      <c r="E54" s="5"/>
      <c r="F54" s="5"/>
      <c r="G54" s="6" t="s">
        <v>377</v>
      </c>
      <c r="H54" s="6"/>
      <c r="I54" s="7" t="str">
        <f>'工程单价费(税)率汇总表'!G8&amp;"%"</f>
        <v>32.8%</v>
      </c>
      <c r="J54" s="15">
        <f>K45+ROUND(I50*2.7*3.46,2)</f>
        <v>220.36</v>
      </c>
      <c r="K54" s="15">
        <f t="shared" si="4"/>
        <v>72.28</v>
      </c>
    </row>
    <row r="55" customHeight="1" spans="1:11">
      <c r="A55" s="6" t="s">
        <v>57</v>
      </c>
      <c r="B55" s="5" t="s">
        <v>389</v>
      </c>
      <c r="C55" s="5"/>
      <c r="D55" s="5"/>
      <c r="E55" s="5"/>
      <c r="F55" s="5"/>
      <c r="G55" s="6" t="s">
        <v>377</v>
      </c>
      <c r="H55" s="6"/>
      <c r="I55" s="7" t="str">
        <f>'工程单价费(税)率汇总表'!H8&amp;"%"</f>
        <v>7%</v>
      </c>
      <c r="J55" s="15">
        <f>K44+K53+K54</f>
        <v>588.1</v>
      </c>
      <c r="K55" s="15">
        <f t="shared" si="4"/>
        <v>41.17</v>
      </c>
    </row>
    <row r="56" customHeight="1" spans="1:11">
      <c r="A56" s="6" t="s">
        <v>59</v>
      </c>
      <c r="B56" s="5" t="s">
        <v>207</v>
      </c>
      <c r="C56" s="5"/>
      <c r="D56" s="5"/>
      <c r="E56" s="5"/>
      <c r="F56" s="5"/>
      <c r="G56" s="6" t="s">
        <v>377</v>
      </c>
      <c r="H56" s="6"/>
      <c r="I56" s="7"/>
      <c r="J56" s="7"/>
      <c r="K56" s="15">
        <f>SUM(K57:K59)</f>
        <v>337.92</v>
      </c>
    </row>
    <row r="57" customHeight="1" spans="1:11">
      <c r="A57" s="6"/>
      <c r="B57" s="5" t="s">
        <v>324</v>
      </c>
      <c r="C57" s="5"/>
      <c r="D57" s="5"/>
      <c r="E57" s="5"/>
      <c r="F57" s="5"/>
      <c r="G57" s="6" t="s">
        <v>378</v>
      </c>
      <c r="H57" s="6"/>
      <c r="I57" s="7">
        <f>I46</f>
        <v>52.32</v>
      </c>
      <c r="J57" s="15">
        <v>4</v>
      </c>
      <c r="K57" s="15">
        <f t="shared" ref="K57:K61" si="5">ROUND(I57*J57,2)</f>
        <v>209.28</v>
      </c>
    </row>
    <row r="58" customHeight="1" spans="1:11">
      <c r="A58" s="6"/>
      <c r="B58" s="5" t="s">
        <v>390</v>
      </c>
      <c r="C58" s="5"/>
      <c r="D58" s="5"/>
      <c r="E58" s="5"/>
      <c r="F58" s="5"/>
      <c r="G58" s="6" t="s">
        <v>378</v>
      </c>
      <c r="H58" s="6"/>
      <c r="I58" s="7">
        <f>I50*2.7</f>
        <v>11.367</v>
      </c>
      <c r="J58" s="15">
        <v>4</v>
      </c>
      <c r="K58" s="15">
        <f t="shared" si="5"/>
        <v>45.47</v>
      </c>
    </row>
    <row r="59" customHeight="1" spans="1:11">
      <c r="A59" s="6"/>
      <c r="B59" s="5" t="s">
        <v>293</v>
      </c>
      <c r="C59" s="5" t="s">
        <v>294</v>
      </c>
      <c r="D59" s="5"/>
      <c r="E59" s="5"/>
      <c r="F59" s="5"/>
      <c r="G59" s="6" t="s">
        <v>285</v>
      </c>
      <c r="H59" s="6"/>
      <c r="I59" s="7">
        <f>I50*4.4</f>
        <v>18.524</v>
      </c>
      <c r="J59" s="15">
        <v>4.49</v>
      </c>
      <c r="K59" s="15">
        <f t="shared" si="5"/>
        <v>83.17</v>
      </c>
    </row>
    <row r="60" customHeight="1" spans="1:11">
      <c r="A60" s="6" t="s">
        <v>227</v>
      </c>
      <c r="B60" s="5" t="s">
        <v>208</v>
      </c>
      <c r="C60" s="5"/>
      <c r="D60" s="5"/>
      <c r="E60" s="5"/>
      <c r="F60" s="5"/>
      <c r="G60" s="6" t="s">
        <v>377</v>
      </c>
      <c r="H60" s="6"/>
      <c r="I60" s="7" t="str">
        <f>'工程单价费(税)率汇总表'!I8&amp;"%"</f>
        <v>0%</v>
      </c>
      <c r="J60" s="15">
        <f>K44+K53+K54+K55+K56</f>
        <v>967.19</v>
      </c>
      <c r="K60" s="15">
        <f t="shared" si="5"/>
        <v>0</v>
      </c>
    </row>
    <row r="61" customHeight="1" spans="1:11">
      <c r="A61" s="6" t="s">
        <v>223</v>
      </c>
      <c r="B61" s="5" t="s">
        <v>209</v>
      </c>
      <c r="C61" s="5"/>
      <c r="D61" s="5"/>
      <c r="E61" s="5"/>
      <c r="F61" s="5"/>
      <c r="G61" s="6" t="s">
        <v>377</v>
      </c>
      <c r="H61" s="6"/>
      <c r="I61" s="7" t="str">
        <f>'工程单价费(税)率汇总表'!J8&amp;"%"</f>
        <v>9%</v>
      </c>
      <c r="J61" s="15">
        <f>K44+K53+K54+K55+K56+K60</f>
        <v>967.19</v>
      </c>
      <c r="K61" s="15">
        <f t="shared" si="5"/>
        <v>87.05</v>
      </c>
    </row>
    <row r="62" customHeight="1" spans="1:11">
      <c r="A62" s="6"/>
      <c r="B62" s="5" t="s">
        <v>61</v>
      </c>
      <c r="C62" s="5"/>
      <c r="D62" s="5"/>
      <c r="E62" s="5"/>
      <c r="F62" s="5"/>
      <c r="G62" s="6" t="s">
        <v>377</v>
      </c>
      <c r="H62" s="6"/>
      <c r="I62" s="7"/>
      <c r="J62" s="7"/>
      <c r="K62" s="15">
        <f>K44+K53+K54+K55+K56+K60+K61</f>
        <v>1054.24</v>
      </c>
    </row>
    <row r="63" customHeight="1" spans="1:11">
      <c r="A63" s="6"/>
      <c r="B63" s="5" t="s">
        <v>391</v>
      </c>
      <c r="C63" s="5"/>
      <c r="D63" s="5"/>
      <c r="E63" s="5"/>
      <c r="F63" s="5"/>
      <c r="G63" s="6" t="s">
        <v>377</v>
      </c>
      <c r="H63" s="6"/>
      <c r="I63" s="7"/>
      <c r="J63" s="7"/>
      <c r="K63" s="15">
        <f>ROUND(K62/100,2)</f>
        <v>10.54</v>
      </c>
    </row>
    <row r="64" customHeight="1" spans="1:11">
      <c r="A64" s="6"/>
      <c r="B64" s="5"/>
      <c r="C64" s="5"/>
      <c r="D64" s="5"/>
      <c r="E64" s="5"/>
      <c r="F64" s="5"/>
      <c r="G64" s="6"/>
      <c r="H64" s="6"/>
      <c r="I64" s="7"/>
      <c r="J64" s="7"/>
      <c r="K64" s="7"/>
    </row>
    <row r="65" customHeight="1" spans="1:11">
      <c r="A65" s="6"/>
      <c r="B65" s="5"/>
      <c r="C65" s="5"/>
      <c r="D65" s="5"/>
      <c r="E65" s="5"/>
      <c r="F65" s="5"/>
      <c r="G65" s="6"/>
      <c r="H65" s="6"/>
      <c r="I65" s="7"/>
      <c r="J65" s="7"/>
      <c r="K65" s="7"/>
    </row>
    <row r="66" customHeight="1" spans="1:11">
      <c r="A66" s="6"/>
      <c r="B66" s="5"/>
      <c r="C66" s="5"/>
      <c r="D66" s="5"/>
      <c r="E66" s="5"/>
      <c r="F66" s="5"/>
      <c r="G66" s="6"/>
      <c r="H66" s="6"/>
      <c r="I66" s="7"/>
      <c r="J66" s="7"/>
      <c r="K66" s="7"/>
    </row>
    <row r="67" customHeight="1" spans="1:11">
      <c r="A67" s="6"/>
      <c r="B67" s="5"/>
      <c r="C67" s="5"/>
      <c r="D67" s="5"/>
      <c r="E67" s="5"/>
      <c r="F67" s="5"/>
      <c r="G67" s="6"/>
      <c r="H67" s="6"/>
      <c r="I67" s="7"/>
      <c r="J67" s="7"/>
      <c r="K67" s="7"/>
    </row>
    <row r="68" customHeight="1" spans="1:11">
      <c r="A68" s="6"/>
      <c r="B68" s="5"/>
      <c r="C68" s="5"/>
      <c r="D68" s="5"/>
      <c r="E68" s="5"/>
      <c r="F68" s="5"/>
      <c r="G68" s="6"/>
      <c r="H68" s="6"/>
      <c r="I68" s="7"/>
      <c r="J68" s="7"/>
      <c r="K68" s="7"/>
    </row>
    <row r="69" customHeight="1" spans="1:11">
      <c r="A69" s="6"/>
      <c r="B69" s="5"/>
      <c r="C69" s="5"/>
      <c r="D69" s="5"/>
      <c r="E69" s="5"/>
      <c r="F69" s="5"/>
      <c r="G69" s="6"/>
      <c r="H69" s="6"/>
      <c r="I69" s="7"/>
      <c r="J69" s="7"/>
      <c r="K69" s="7"/>
    </row>
    <row r="70" customHeight="1" spans="1:11">
      <c r="A70" s="6"/>
      <c r="B70" s="5"/>
      <c r="C70" s="5"/>
      <c r="D70" s="5"/>
      <c r="E70" s="5"/>
      <c r="F70" s="5"/>
      <c r="G70" s="6"/>
      <c r="H70" s="6"/>
      <c r="I70" s="7"/>
      <c r="J70" s="7"/>
      <c r="K70" s="7"/>
    </row>
    <row r="71" customHeight="1" spans="1:11">
      <c r="A71" s="6"/>
      <c r="B71" s="5"/>
      <c r="C71" s="5"/>
      <c r="D71" s="5"/>
      <c r="E71" s="5"/>
      <c r="F71" s="5"/>
      <c r="G71" s="6"/>
      <c r="H71" s="6"/>
      <c r="I71" s="7"/>
      <c r="J71" s="7"/>
      <c r="K71" s="7"/>
    </row>
    <row r="72" customHeight="1" spans="1:11">
      <c r="A72" s="6"/>
      <c r="B72" s="5"/>
      <c r="C72" s="5"/>
      <c r="D72" s="5"/>
      <c r="E72" s="5"/>
      <c r="F72" s="5"/>
      <c r="G72" s="6"/>
      <c r="H72" s="6"/>
      <c r="I72" s="7"/>
      <c r="J72" s="7"/>
      <c r="K72" s="7"/>
    </row>
    <row r="73" customHeight="1" spans="1:11">
      <c r="A73" s="6"/>
      <c r="B73" s="5"/>
      <c r="C73" s="5"/>
      <c r="D73" s="5"/>
      <c r="E73" s="5"/>
      <c r="F73" s="5"/>
      <c r="G73" s="6"/>
      <c r="H73" s="6"/>
      <c r="I73" s="7"/>
      <c r="J73" s="7"/>
      <c r="K73" s="7"/>
    </row>
    <row r="74" customHeight="1" spans="1:11">
      <c r="A74" s="6"/>
      <c r="B74" s="5"/>
      <c r="C74" s="5"/>
      <c r="D74" s="5"/>
      <c r="E74" s="5"/>
      <c r="F74" s="5"/>
      <c r="G74" s="6"/>
      <c r="H74" s="6"/>
      <c r="I74" s="7"/>
      <c r="J74" s="7"/>
      <c r="K74" s="7"/>
    </row>
    <row r="75" ht="7.5" customHeight="1" spans="1:11">
      <c r="A75" s="3"/>
      <c r="B75" s="3"/>
      <c r="C75" s="3"/>
      <c r="D75" s="3"/>
      <c r="E75" s="3"/>
      <c r="F75" s="3"/>
      <c r="G75" s="3"/>
      <c r="H75" s="3"/>
      <c r="I75" s="3"/>
      <c r="J75" s="3"/>
      <c r="K75" s="3"/>
    </row>
    <row r="76" ht="26.25" customHeight="1" spans="1:11">
      <c r="A76" s="2" t="s">
        <v>367</v>
      </c>
      <c r="B76" s="2"/>
      <c r="C76" s="2"/>
      <c r="D76" s="2"/>
      <c r="E76" s="2"/>
      <c r="F76" s="2"/>
      <c r="G76" s="2"/>
      <c r="H76" s="2"/>
      <c r="I76" s="2"/>
      <c r="J76" s="2"/>
      <c r="K76" s="2"/>
    </row>
    <row r="77" customHeight="1" spans="1:11">
      <c r="A77" s="11" t="s">
        <v>395</v>
      </c>
      <c r="B77" s="11"/>
      <c r="C77" s="11"/>
      <c r="D77" s="11"/>
      <c r="E77" s="11"/>
      <c r="F77" s="11"/>
      <c r="G77" s="11"/>
      <c r="H77" s="11"/>
      <c r="I77" s="11"/>
      <c r="J77" s="11"/>
      <c r="K77" s="11"/>
    </row>
    <row r="78" customHeight="1" spans="1:11">
      <c r="A78" s="8" t="s">
        <v>369</v>
      </c>
      <c r="B78" s="3" t="s">
        <v>59</v>
      </c>
      <c r="C78" s="3"/>
      <c r="D78" s="3"/>
      <c r="E78" s="3"/>
      <c r="F78" s="3"/>
      <c r="G78" s="3"/>
      <c r="H78" s="12" t="s">
        <v>393</v>
      </c>
      <c r="I78" s="12"/>
      <c r="J78" s="12"/>
      <c r="K78" s="12"/>
    </row>
    <row r="79" ht="27.75" customHeight="1" spans="1:11">
      <c r="A79" s="13" t="s">
        <v>371</v>
      </c>
      <c r="B79" s="14" t="s">
        <v>396</v>
      </c>
      <c r="C79" s="14"/>
      <c r="D79" s="14"/>
      <c r="E79" s="14"/>
      <c r="F79" s="14"/>
      <c r="G79" s="14"/>
      <c r="H79" s="14"/>
      <c r="I79" s="14"/>
      <c r="J79" s="14"/>
      <c r="K79" s="14"/>
    </row>
    <row r="80" customHeight="1" spans="1:11">
      <c r="A80" s="6" t="s">
        <v>48</v>
      </c>
      <c r="B80" s="6" t="s">
        <v>254</v>
      </c>
      <c r="C80" s="6" t="s">
        <v>255</v>
      </c>
      <c r="D80" s="6"/>
      <c r="E80" s="6"/>
      <c r="F80" s="6"/>
      <c r="G80" s="6" t="s">
        <v>282</v>
      </c>
      <c r="H80" s="6"/>
      <c r="I80" s="6" t="s">
        <v>373</v>
      </c>
      <c r="J80" s="6" t="s">
        <v>374</v>
      </c>
      <c r="K80" s="6" t="s">
        <v>375</v>
      </c>
    </row>
    <row r="81" customHeight="1" spans="1:11">
      <c r="A81" s="6" t="s">
        <v>51</v>
      </c>
      <c r="B81" s="5" t="s">
        <v>376</v>
      </c>
      <c r="C81" s="5"/>
      <c r="D81" s="5"/>
      <c r="E81" s="5"/>
      <c r="F81" s="5"/>
      <c r="G81" s="6" t="s">
        <v>377</v>
      </c>
      <c r="H81" s="6"/>
      <c r="I81" s="7"/>
      <c r="J81" s="7"/>
      <c r="K81" s="15">
        <f>K82+K84+K86+K88+K89</f>
        <v>212.56</v>
      </c>
    </row>
    <row r="82" customHeight="1" spans="1:11">
      <c r="A82" s="6" t="s">
        <v>72</v>
      </c>
      <c r="B82" s="5" t="s">
        <v>199</v>
      </c>
      <c r="C82" s="5"/>
      <c r="D82" s="5"/>
      <c r="E82" s="5"/>
      <c r="F82" s="5"/>
      <c r="G82" s="6" t="s">
        <v>377</v>
      </c>
      <c r="H82" s="6"/>
      <c r="I82" s="7"/>
      <c r="J82" s="7"/>
      <c r="K82" s="15">
        <f t="shared" ref="K82:K86" si="6">SUM(K83:K83)</f>
        <v>13.84</v>
      </c>
    </row>
    <row r="83" customHeight="1" spans="1:11">
      <c r="A83" s="6"/>
      <c r="B83" s="5" t="s">
        <v>324</v>
      </c>
      <c r="C83" s="5"/>
      <c r="D83" s="5"/>
      <c r="E83" s="5"/>
      <c r="F83" s="5"/>
      <c r="G83" s="6" t="s">
        <v>378</v>
      </c>
      <c r="H83" s="6"/>
      <c r="I83" s="7">
        <v>4</v>
      </c>
      <c r="J83" s="15">
        <v>3.46</v>
      </c>
      <c r="K83" s="15">
        <f t="shared" ref="K83:K92" si="7">ROUND(I83*J83,2)</f>
        <v>13.84</v>
      </c>
    </row>
    <row r="84" customHeight="1" spans="1:11">
      <c r="A84" s="6" t="s">
        <v>131</v>
      </c>
      <c r="B84" s="5" t="s">
        <v>200</v>
      </c>
      <c r="C84" s="5"/>
      <c r="D84" s="5"/>
      <c r="E84" s="5"/>
      <c r="F84" s="5"/>
      <c r="G84" s="6" t="s">
        <v>377</v>
      </c>
      <c r="H84" s="6"/>
      <c r="I84" s="7"/>
      <c r="J84" s="7"/>
      <c r="K84" s="15">
        <f t="shared" si="6"/>
        <v>17.81</v>
      </c>
    </row>
    <row r="85" customHeight="1" spans="1:11">
      <c r="A85" s="6"/>
      <c r="B85" s="5" t="s">
        <v>379</v>
      </c>
      <c r="C85" s="5"/>
      <c r="D85" s="5"/>
      <c r="E85" s="5"/>
      <c r="F85" s="5"/>
      <c r="G85" s="6" t="s">
        <v>380</v>
      </c>
      <c r="H85" s="6"/>
      <c r="I85" s="7">
        <v>10</v>
      </c>
      <c r="J85" s="15">
        <f>K83+K87</f>
        <v>178.09</v>
      </c>
      <c r="K85" s="15">
        <f>ROUND(I85*J85/100,2)</f>
        <v>17.81</v>
      </c>
    </row>
    <row r="86" customHeight="1" spans="1:11">
      <c r="A86" s="6" t="s">
        <v>381</v>
      </c>
      <c r="B86" s="5" t="s">
        <v>382</v>
      </c>
      <c r="C86" s="5"/>
      <c r="D86" s="5"/>
      <c r="E86" s="5"/>
      <c r="F86" s="5"/>
      <c r="G86" s="6" t="s">
        <v>377</v>
      </c>
      <c r="H86" s="6"/>
      <c r="I86" s="7"/>
      <c r="J86" s="7"/>
      <c r="K86" s="15">
        <f t="shared" si="6"/>
        <v>164.25</v>
      </c>
    </row>
    <row r="87" customHeight="1" spans="1:11">
      <c r="A87" s="6"/>
      <c r="B87" s="5" t="s">
        <v>327</v>
      </c>
      <c r="C87" s="5" t="s">
        <v>328</v>
      </c>
      <c r="D87" s="5"/>
      <c r="E87" s="5"/>
      <c r="F87" s="5"/>
      <c r="G87" s="6" t="s">
        <v>383</v>
      </c>
      <c r="H87" s="6"/>
      <c r="I87" s="7">
        <v>3.27</v>
      </c>
      <c r="J87" s="15">
        <f>施工机械台时费汇总表!P9</f>
        <v>50.23</v>
      </c>
      <c r="K87" s="15">
        <f t="shared" si="7"/>
        <v>164.25</v>
      </c>
    </row>
    <row r="88" customHeight="1" spans="1:11">
      <c r="A88" s="6" t="s">
        <v>384</v>
      </c>
      <c r="B88" s="5" t="s">
        <v>385</v>
      </c>
      <c r="C88" s="5"/>
      <c r="D88" s="5"/>
      <c r="E88" s="5"/>
      <c r="F88" s="5"/>
      <c r="G88" s="6" t="s">
        <v>377</v>
      </c>
      <c r="H88" s="6"/>
      <c r="I88" s="7" t="str">
        <f>'工程单价费(税)率汇总表'!D8&amp;"%"</f>
        <v>4.5%</v>
      </c>
      <c r="J88" s="15">
        <f>K82+K84+K86</f>
        <v>195.9</v>
      </c>
      <c r="K88" s="15">
        <f t="shared" si="7"/>
        <v>8.82</v>
      </c>
    </row>
    <row r="89" customHeight="1" spans="1:11">
      <c r="A89" s="6" t="s">
        <v>386</v>
      </c>
      <c r="B89" s="5" t="s">
        <v>387</v>
      </c>
      <c r="C89" s="5"/>
      <c r="D89" s="5"/>
      <c r="E89" s="5"/>
      <c r="F89" s="5"/>
      <c r="G89" s="6" t="s">
        <v>377</v>
      </c>
      <c r="H89" s="6"/>
      <c r="I89" s="7" t="str">
        <f>'工程单价费(税)率汇总表'!E8&amp;"%"</f>
        <v>4%</v>
      </c>
      <c r="J89" s="15">
        <f>K82+K84+K86</f>
        <v>195.9</v>
      </c>
      <c r="K89" s="15">
        <f t="shared" si="7"/>
        <v>7.84</v>
      </c>
    </row>
    <row r="90" customHeight="1" spans="1:11">
      <c r="A90" s="6" t="s">
        <v>53</v>
      </c>
      <c r="B90" s="5" t="s">
        <v>388</v>
      </c>
      <c r="C90" s="5"/>
      <c r="D90" s="5"/>
      <c r="E90" s="5"/>
      <c r="F90" s="5"/>
      <c r="G90" s="6" t="s">
        <v>377</v>
      </c>
      <c r="H90" s="6"/>
      <c r="I90" s="7" t="str">
        <f>'工程单价费(税)率汇总表'!F8&amp;"%"</f>
        <v>3.7%</v>
      </c>
      <c r="J90" s="15">
        <f>K81</f>
        <v>212.56</v>
      </c>
      <c r="K90" s="15">
        <f t="shared" si="7"/>
        <v>7.86</v>
      </c>
    </row>
    <row r="91" customHeight="1" spans="1:11">
      <c r="A91" s="6" t="s">
        <v>55</v>
      </c>
      <c r="B91" s="5" t="s">
        <v>216</v>
      </c>
      <c r="C91" s="5"/>
      <c r="D91" s="5"/>
      <c r="E91" s="5"/>
      <c r="F91" s="5"/>
      <c r="G91" s="6" t="s">
        <v>377</v>
      </c>
      <c r="H91" s="6"/>
      <c r="I91" s="7" t="str">
        <f>'工程单价费(税)率汇总表'!G8&amp;"%"</f>
        <v>32.8%</v>
      </c>
      <c r="J91" s="15">
        <f>K82+ROUND(I87*2.4*3.46,2)</f>
        <v>40.99</v>
      </c>
      <c r="K91" s="15">
        <f t="shared" si="7"/>
        <v>13.44</v>
      </c>
    </row>
    <row r="92" customHeight="1" spans="1:11">
      <c r="A92" s="6" t="s">
        <v>57</v>
      </c>
      <c r="B92" s="5" t="s">
        <v>389</v>
      </c>
      <c r="C92" s="5"/>
      <c r="D92" s="5"/>
      <c r="E92" s="5"/>
      <c r="F92" s="5"/>
      <c r="G92" s="6" t="s">
        <v>377</v>
      </c>
      <c r="H92" s="6"/>
      <c r="I92" s="7" t="str">
        <f>'工程单价费(税)率汇总表'!H8&amp;"%"</f>
        <v>7%</v>
      </c>
      <c r="J92" s="15">
        <f>K81+K90+K91</f>
        <v>233.86</v>
      </c>
      <c r="K92" s="15">
        <f t="shared" si="7"/>
        <v>16.37</v>
      </c>
    </row>
    <row r="93" customHeight="1" spans="1:11">
      <c r="A93" s="6" t="s">
        <v>59</v>
      </c>
      <c r="B93" s="5" t="s">
        <v>207</v>
      </c>
      <c r="C93" s="5"/>
      <c r="D93" s="5"/>
      <c r="E93" s="5"/>
      <c r="F93" s="5"/>
      <c r="G93" s="6" t="s">
        <v>377</v>
      </c>
      <c r="H93" s="6"/>
      <c r="I93" s="7"/>
      <c r="J93" s="7"/>
      <c r="K93" s="15">
        <f>SUM(K94:K96)</f>
        <v>163.38</v>
      </c>
    </row>
    <row r="94" customHeight="1" spans="1:11">
      <c r="A94" s="6"/>
      <c r="B94" s="5" t="s">
        <v>324</v>
      </c>
      <c r="C94" s="5"/>
      <c r="D94" s="5"/>
      <c r="E94" s="5"/>
      <c r="F94" s="5"/>
      <c r="G94" s="6" t="s">
        <v>378</v>
      </c>
      <c r="H94" s="6"/>
      <c r="I94" s="7">
        <f>I83</f>
        <v>4</v>
      </c>
      <c r="J94" s="15">
        <v>4</v>
      </c>
      <c r="K94" s="15">
        <f t="shared" ref="K94:K98" si="8">ROUND(I94*J94,2)</f>
        <v>16</v>
      </c>
    </row>
    <row r="95" customHeight="1" spans="1:11">
      <c r="A95" s="6"/>
      <c r="B95" s="5" t="s">
        <v>390</v>
      </c>
      <c r="C95" s="5"/>
      <c r="D95" s="5"/>
      <c r="E95" s="5"/>
      <c r="F95" s="5"/>
      <c r="G95" s="6" t="s">
        <v>378</v>
      </c>
      <c r="H95" s="6"/>
      <c r="I95" s="7">
        <f>I87*2.4</f>
        <v>7.848</v>
      </c>
      <c r="J95" s="15">
        <v>4</v>
      </c>
      <c r="K95" s="15">
        <f t="shared" si="8"/>
        <v>31.39</v>
      </c>
    </row>
    <row r="96" customHeight="1" spans="1:11">
      <c r="A96" s="6"/>
      <c r="B96" s="5" t="s">
        <v>293</v>
      </c>
      <c r="C96" s="5" t="s">
        <v>294</v>
      </c>
      <c r="D96" s="5"/>
      <c r="E96" s="5"/>
      <c r="F96" s="5"/>
      <c r="G96" s="6" t="s">
        <v>285</v>
      </c>
      <c r="H96" s="6"/>
      <c r="I96" s="7">
        <f>I87*7.9</f>
        <v>25.833</v>
      </c>
      <c r="J96" s="15">
        <v>4.49</v>
      </c>
      <c r="K96" s="15">
        <f t="shared" si="8"/>
        <v>115.99</v>
      </c>
    </row>
    <row r="97" customHeight="1" spans="1:11">
      <c r="A97" s="6" t="s">
        <v>227</v>
      </c>
      <c r="B97" s="5" t="s">
        <v>208</v>
      </c>
      <c r="C97" s="5"/>
      <c r="D97" s="5"/>
      <c r="E97" s="5"/>
      <c r="F97" s="5"/>
      <c r="G97" s="6" t="s">
        <v>377</v>
      </c>
      <c r="H97" s="6"/>
      <c r="I97" s="7" t="str">
        <f>'工程单价费(税)率汇总表'!I8&amp;"%"</f>
        <v>0%</v>
      </c>
      <c r="J97" s="15">
        <f>K81+K90+K91+K92+K93</f>
        <v>413.61</v>
      </c>
      <c r="K97" s="15">
        <f t="shared" si="8"/>
        <v>0</v>
      </c>
    </row>
    <row r="98" customHeight="1" spans="1:11">
      <c r="A98" s="6" t="s">
        <v>223</v>
      </c>
      <c r="B98" s="5" t="s">
        <v>209</v>
      </c>
      <c r="C98" s="5"/>
      <c r="D98" s="5"/>
      <c r="E98" s="5"/>
      <c r="F98" s="5"/>
      <c r="G98" s="6" t="s">
        <v>377</v>
      </c>
      <c r="H98" s="6"/>
      <c r="I98" s="7" t="str">
        <f>'工程单价费(税)率汇总表'!J8&amp;"%"</f>
        <v>9%</v>
      </c>
      <c r="J98" s="15">
        <f>K81+K90+K91+K92+K93+K97</f>
        <v>413.61</v>
      </c>
      <c r="K98" s="15">
        <f t="shared" si="8"/>
        <v>37.22</v>
      </c>
    </row>
    <row r="99" customHeight="1" spans="1:11">
      <c r="A99" s="6"/>
      <c r="B99" s="5" t="s">
        <v>61</v>
      </c>
      <c r="C99" s="5"/>
      <c r="D99" s="5"/>
      <c r="E99" s="5"/>
      <c r="F99" s="5"/>
      <c r="G99" s="6" t="s">
        <v>377</v>
      </c>
      <c r="H99" s="6"/>
      <c r="I99" s="7"/>
      <c r="J99" s="7"/>
      <c r="K99" s="15">
        <f>K81+K90+K91+K92+K93+K97+K98</f>
        <v>450.83</v>
      </c>
    </row>
    <row r="100" customHeight="1" spans="1:11">
      <c r="A100" s="6"/>
      <c r="B100" s="5" t="s">
        <v>391</v>
      </c>
      <c r="C100" s="5"/>
      <c r="D100" s="5"/>
      <c r="E100" s="5"/>
      <c r="F100" s="5"/>
      <c r="G100" s="6" t="s">
        <v>377</v>
      </c>
      <c r="H100" s="6"/>
      <c r="I100" s="7"/>
      <c r="J100" s="7"/>
      <c r="K100" s="15">
        <f>ROUND(K99/100,2)</f>
        <v>4.51</v>
      </c>
    </row>
    <row r="101" customHeight="1" spans="1:11">
      <c r="A101" s="6"/>
      <c r="B101" s="5"/>
      <c r="C101" s="5"/>
      <c r="D101" s="5"/>
      <c r="E101" s="5"/>
      <c r="F101" s="5"/>
      <c r="G101" s="6"/>
      <c r="H101" s="6"/>
      <c r="I101" s="7"/>
      <c r="J101" s="7"/>
      <c r="K101" s="7"/>
    </row>
    <row r="102" customHeight="1" spans="1:11">
      <c r="A102" s="6"/>
      <c r="B102" s="5"/>
      <c r="C102" s="5"/>
      <c r="D102" s="5"/>
      <c r="E102" s="5"/>
      <c r="F102" s="5"/>
      <c r="G102" s="6"/>
      <c r="H102" s="6"/>
      <c r="I102" s="7"/>
      <c r="J102" s="7"/>
      <c r="K102" s="7"/>
    </row>
    <row r="103" customHeight="1" spans="1:11">
      <c r="A103" s="6"/>
      <c r="B103" s="5"/>
      <c r="C103" s="5"/>
      <c r="D103" s="5"/>
      <c r="E103" s="5"/>
      <c r="F103" s="5"/>
      <c r="G103" s="6"/>
      <c r="H103" s="6"/>
      <c r="I103" s="7"/>
      <c r="J103" s="7"/>
      <c r="K103" s="7"/>
    </row>
    <row r="104" customHeight="1" spans="1:11">
      <c r="A104" s="6"/>
      <c r="B104" s="5"/>
      <c r="C104" s="5"/>
      <c r="D104" s="5"/>
      <c r="E104" s="5"/>
      <c r="F104" s="5"/>
      <c r="G104" s="6"/>
      <c r="H104" s="6"/>
      <c r="I104" s="7"/>
      <c r="J104" s="7"/>
      <c r="K104" s="7"/>
    </row>
    <row r="105" customHeight="1" spans="1:11">
      <c r="A105" s="6"/>
      <c r="B105" s="5"/>
      <c r="C105" s="5"/>
      <c r="D105" s="5"/>
      <c r="E105" s="5"/>
      <c r="F105" s="5"/>
      <c r="G105" s="6"/>
      <c r="H105" s="6"/>
      <c r="I105" s="7"/>
      <c r="J105" s="7"/>
      <c r="K105" s="7"/>
    </row>
    <row r="106" customHeight="1" spans="1:11">
      <c r="A106" s="6"/>
      <c r="B106" s="5"/>
      <c r="C106" s="5"/>
      <c r="D106" s="5"/>
      <c r="E106" s="5"/>
      <c r="F106" s="5"/>
      <c r="G106" s="6"/>
      <c r="H106" s="6"/>
      <c r="I106" s="7"/>
      <c r="J106" s="7"/>
      <c r="K106" s="7"/>
    </row>
    <row r="107" customHeight="1" spans="1:11">
      <c r="A107" s="6"/>
      <c r="B107" s="5"/>
      <c r="C107" s="5"/>
      <c r="D107" s="5"/>
      <c r="E107" s="5"/>
      <c r="F107" s="5"/>
      <c r="G107" s="6"/>
      <c r="H107" s="6"/>
      <c r="I107" s="7"/>
      <c r="J107" s="7"/>
      <c r="K107" s="7"/>
    </row>
    <row r="108" customHeight="1" spans="1:11">
      <c r="A108" s="6"/>
      <c r="B108" s="5"/>
      <c r="C108" s="5"/>
      <c r="D108" s="5"/>
      <c r="E108" s="5"/>
      <c r="F108" s="5"/>
      <c r="G108" s="6"/>
      <c r="H108" s="6"/>
      <c r="I108" s="7"/>
      <c r="J108" s="7"/>
      <c r="K108" s="7"/>
    </row>
    <row r="109" customHeight="1" spans="1:11">
      <c r="A109" s="6"/>
      <c r="B109" s="5"/>
      <c r="C109" s="5"/>
      <c r="D109" s="5"/>
      <c r="E109" s="5"/>
      <c r="F109" s="5"/>
      <c r="G109" s="6"/>
      <c r="H109" s="6"/>
      <c r="I109" s="7"/>
      <c r="J109" s="7"/>
      <c r="K109" s="7"/>
    </row>
    <row r="110" customHeight="1" spans="1:11">
      <c r="A110" s="6"/>
      <c r="B110" s="5"/>
      <c r="C110" s="5"/>
      <c r="D110" s="5"/>
      <c r="E110" s="5"/>
      <c r="F110" s="5"/>
      <c r="G110" s="6"/>
      <c r="H110" s="6"/>
      <c r="I110" s="7"/>
      <c r="J110" s="7"/>
      <c r="K110" s="7"/>
    </row>
    <row r="111" customHeight="1" spans="1:11">
      <c r="A111" s="6"/>
      <c r="B111" s="5"/>
      <c r="C111" s="5"/>
      <c r="D111" s="5"/>
      <c r="E111" s="5"/>
      <c r="F111" s="5"/>
      <c r="G111" s="6"/>
      <c r="H111" s="6"/>
      <c r="I111" s="7"/>
      <c r="J111" s="7"/>
      <c r="K111" s="7"/>
    </row>
    <row r="112" ht="7.5" customHeight="1" spans="1:11">
      <c r="A112" s="3"/>
      <c r="B112" s="3"/>
      <c r="C112" s="3"/>
      <c r="D112" s="3"/>
      <c r="E112" s="3"/>
      <c r="F112" s="3"/>
      <c r="G112" s="3"/>
      <c r="H112" s="3"/>
      <c r="I112" s="3"/>
      <c r="J112" s="3"/>
      <c r="K112" s="3"/>
    </row>
    <row r="113" ht="26.25" customHeight="1" spans="1:11">
      <c r="A113" s="2" t="s">
        <v>367</v>
      </c>
      <c r="B113" s="2"/>
      <c r="C113" s="2"/>
      <c r="D113" s="2"/>
      <c r="E113" s="2"/>
      <c r="F113" s="2"/>
      <c r="G113" s="2"/>
      <c r="H113" s="2"/>
      <c r="I113" s="2"/>
      <c r="J113" s="2"/>
      <c r="K113" s="2"/>
    </row>
    <row r="114" customHeight="1" spans="1:11">
      <c r="A114" s="11" t="s">
        <v>397</v>
      </c>
      <c r="B114" s="11"/>
      <c r="C114" s="11"/>
      <c r="D114" s="11"/>
      <c r="E114" s="11"/>
      <c r="F114" s="11"/>
      <c r="G114" s="11"/>
      <c r="H114" s="11"/>
      <c r="I114" s="11"/>
      <c r="J114" s="11"/>
      <c r="K114" s="11"/>
    </row>
    <row r="115" customHeight="1" spans="1:11">
      <c r="A115" s="8" t="s">
        <v>369</v>
      </c>
      <c r="B115" s="3" t="s">
        <v>223</v>
      </c>
      <c r="C115" s="3"/>
      <c r="D115" s="3"/>
      <c r="E115" s="3"/>
      <c r="F115" s="3"/>
      <c r="G115" s="3"/>
      <c r="H115" s="12" t="s">
        <v>393</v>
      </c>
      <c r="I115" s="12"/>
      <c r="J115" s="12"/>
      <c r="K115" s="12"/>
    </row>
    <row r="116" ht="27.75" customHeight="1" spans="1:11">
      <c r="A116" s="13" t="s">
        <v>371</v>
      </c>
      <c r="B116" s="14" t="s">
        <v>398</v>
      </c>
      <c r="C116" s="14"/>
      <c r="D116" s="14"/>
      <c r="E116" s="14"/>
      <c r="F116" s="14"/>
      <c r="G116" s="14"/>
      <c r="H116" s="14"/>
      <c r="I116" s="14"/>
      <c r="J116" s="14"/>
      <c r="K116" s="14"/>
    </row>
    <row r="117" customHeight="1" spans="1:11">
      <c r="A117" s="6" t="s">
        <v>48</v>
      </c>
      <c r="B117" s="6" t="s">
        <v>254</v>
      </c>
      <c r="C117" s="6" t="s">
        <v>255</v>
      </c>
      <c r="D117" s="6"/>
      <c r="E117" s="6"/>
      <c r="F117" s="6"/>
      <c r="G117" s="6" t="s">
        <v>282</v>
      </c>
      <c r="H117" s="6"/>
      <c r="I117" s="6" t="s">
        <v>373</v>
      </c>
      <c r="J117" s="6" t="s">
        <v>374</v>
      </c>
      <c r="K117" s="6" t="s">
        <v>375</v>
      </c>
    </row>
    <row r="118" customHeight="1" spans="1:11">
      <c r="A118" s="6" t="s">
        <v>51</v>
      </c>
      <c r="B118" s="5" t="s">
        <v>376</v>
      </c>
      <c r="C118" s="5"/>
      <c r="D118" s="5"/>
      <c r="E118" s="5"/>
      <c r="F118" s="5"/>
      <c r="G118" s="6" t="s">
        <v>377</v>
      </c>
      <c r="H118" s="6"/>
      <c r="I118" s="7"/>
      <c r="J118" s="7"/>
      <c r="K118" s="15">
        <f>K119+K121+K123+K127+K128</f>
        <v>1268.54</v>
      </c>
    </row>
    <row r="119" customHeight="1" spans="1:11">
      <c r="A119" s="6" t="s">
        <v>72</v>
      </c>
      <c r="B119" s="5" t="s">
        <v>199</v>
      </c>
      <c r="C119" s="5"/>
      <c r="D119" s="5"/>
      <c r="E119" s="5"/>
      <c r="F119" s="5"/>
      <c r="G119" s="6" t="s">
        <v>377</v>
      </c>
      <c r="H119" s="6"/>
      <c r="I119" s="7"/>
      <c r="J119" s="7"/>
      <c r="K119" s="15">
        <f>SUM(K120:K120)</f>
        <v>20.76</v>
      </c>
    </row>
    <row r="120" customHeight="1" spans="1:11">
      <c r="A120" s="6"/>
      <c r="B120" s="5" t="s">
        <v>324</v>
      </c>
      <c r="C120" s="5"/>
      <c r="D120" s="5"/>
      <c r="E120" s="5"/>
      <c r="F120" s="5"/>
      <c r="G120" s="6" t="s">
        <v>378</v>
      </c>
      <c r="H120" s="6"/>
      <c r="I120" s="7">
        <v>6</v>
      </c>
      <c r="J120" s="15">
        <v>3.46</v>
      </c>
      <c r="K120" s="15">
        <f t="shared" ref="K120:K131" si="9">ROUND(I120*J120,2)</f>
        <v>20.76</v>
      </c>
    </row>
    <row r="121" customHeight="1" spans="1:11">
      <c r="A121" s="6" t="s">
        <v>131</v>
      </c>
      <c r="B121" s="5" t="s">
        <v>200</v>
      </c>
      <c r="C121" s="5"/>
      <c r="D121" s="5"/>
      <c r="E121" s="5"/>
      <c r="F121" s="5"/>
      <c r="G121" s="6" t="s">
        <v>377</v>
      </c>
      <c r="H121" s="6"/>
      <c r="I121" s="7"/>
      <c r="J121" s="7"/>
      <c r="K121" s="15">
        <f>SUM(K122:K122)</f>
        <v>44.97</v>
      </c>
    </row>
    <row r="122" customHeight="1" spans="1:11">
      <c r="A122" s="6"/>
      <c r="B122" s="5" t="s">
        <v>379</v>
      </c>
      <c r="C122" s="5"/>
      <c r="D122" s="5"/>
      <c r="E122" s="5"/>
      <c r="F122" s="5"/>
      <c r="G122" s="6" t="s">
        <v>380</v>
      </c>
      <c r="H122" s="6"/>
      <c r="I122" s="7">
        <v>4</v>
      </c>
      <c r="J122" s="15">
        <f>K120+K124+K125+K126</f>
        <v>1124.19</v>
      </c>
      <c r="K122" s="15">
        <f>ROUND(I122*J122/100,2)</f>
        <v>44.97</v>
      </c>
    </row>
    <row r="123" customHeight="1" spans="1:11">
      <c r="A123" s="6" t="s">
        <v>381</v>
      </c>
      <c r="B123" s="5" t="s">
        <v>382</v>
      </c>
      <c r="C123" s="5"/>
      <c r="D123" s="5"/>
      <c r="E123" s="5"/>
      <c r="F123" s="5"/>
      <c r="G123" s="6" t="s">
        <v>377</v>
      </c>
      <c r="H123" s="6"/>
      <c r="I123" s="7"/>
      <c r="J123" s="7"/>
      <c r="K123" s="15">
        <f>SUM(K124:K126)</f>
        <v>1103.43</v>
      </c>
    </row>
    <row r="124" customHeight="1" spans="1:11">
      <c r="A124" s="6"/>
      <c r="B124" s="5" t="s">
        <v>325</v>
      </c>
      <c r="C124" s="5" t="s">
        <v>326</v>
      </c>
      <c r="D124" s="5"/>
      <c r="E124" s="5"/>
      <c r="F124" s="5"/>
      <c r="G124" s="6" t="s">
        <v>383</v>
      </c>
      <c r="H124" s="6"/>
      <c r="I124" s="7">
        <v>1</v>
      </c>
      <c r="J124" s="15">
        <f>施工机械台时费汇总表!P8</f>
        <v>112.25</v>
      </c>
      <c r="K124" s="15">
        <f t="shared" si="9"/>
        <v>112.25</v>
      </c>
    </row>
    <row r="125" customHeight="1" spans="1:11">
      <c r="A125" s="6"/>
      <c r="B125" s="5" t="s">
        <v>327</v>
      </c>
      <c r="C125" s="5" t="s">
        <v>329</v>
      </c>
      <c r="D125" s="5"/>
      <c r="E125" s="5"/>
      <c r="F125" s="5"/>
      <c r="G125" s="6" t="s">
        <v>383</v>
      </c>
      <c r="H125" s="6"/>
      <c r="I125" s="7">
        <v>0.5</v>
      </c>
      <c r="J125" s="15">
        <f>施工机械台时费汇总表!P10</f>
        <v>55.49</v>
      </c>
      <c r="K125" s="15">
        <f t="shared" si="9"/>
        <v>27.75</v>
      </c>
    </row>
    <row r="126" customHeight="1" spans="1:11">
      <c r="A126" s="6"/>
      <c r="B126" s="5" t="s">
        <v>350</v>
      </c>
      <c r="C126" s="5" t="s">
        <v>348</v>
      </c>
      <c r="D126" s="5"/>
      <c r="E126" s="5"/>
      <c r="F126" s="5"/>
      <c r="G126" s="6" t="s">
        <v>383</v>
      </c>
      <c r="H126" s="6"/>
      <c r="I126" s="7">
        <v>20.84</v>
      </c>
      <c r="J126" s="15">
        <f>施工机械台时费汇总表!P21</f>
        <v>46.23</v>
      </c>
      <c r="K126" s="15">
        <f t="shared" si="9"/>
        <v>963.43</v>
      </c>
    </row>
    <row r="127" customHeight="1" spans="1:11">
      <c r="A127" s="6" t="s">
        <v>384</v>
      </c>
      <c r="B127" s="5" t="s">
        <v>385</v>
      </c>
      <c r="C127" s="5"/>
      <c r="D127" s="5"/>
      <c r="E127" s="5"/>
      <c r="F127" s="5"/>
      <c r="G127" s="6" t="s">
        <v>377</v>
      </c>
      <c r="H127" s="6"/>
      <c r="I127" s="7" t="str">
        <f>'工程单价费(税)率汇总表'!D8&amp;"%"</f>
        <v>4.5%</v>
      </c>
      <c r="J127" s="15">
        <f>K119+K121+K123</f>
        <v>1169.16</v>
      </c>
      <c r="K127" s="15">
        <f t="shared" si="9"/>
        <v>52.61</v>
      </c>
    </row>
    <row r="128" customHeight="1" spans="1:11">
      <c r="A128" s="6" t="s">
        <v>386</v>
      </c>
      <c r="B128" s="5" t="s">
        <v>387</v>
      </c>
      <c r="C128" s="5"/>
      <c r="D128" s="5"/>
      <c r="E128" s="5"/>
      <c r="F128" s="5"/>
      <c r="G128" s="6" t="s">
        <v>377</v>
      </c>
      <c r="H128" s="6"/>
      <c r="I128" s="7" t="str">
        <f>'工程单价费(税)率汇总表'!E8&amp;"%"</f>
        <v>4%</v>
      </c>
      <c r="J128" s="15">
        <f>K119+K121+K123</f>
        <v>1169.16</v>
      </c>
      <c r="K128" s="15">
        <f t="shared" si="9"/>
        <v>46.77</v>
      </c>
    </row>
    <row r="129" customHeight="1" spans="1:11">
      <c r="A129" s="6" t="s">
        <v>53</v>
      </c>
      <c r="B129" s="5" t="s">
        <v>388</v>
      </c>
      <c r="C129" s="5"/>
      <c r="D129" s="5"/>
      <c r="E129" s="5"/>
      <c r="F129" s="5"/>
      <c r="G129" s="6" t="s">
        <v>377</v>
      </c>
      <c r="H129" s="6"/>
      <c r="I129" s="7" t="str">
        <f>'工程单价费(税)率汇总表'!F8&amp;"%"</f>
        <v>3.7%</v>
      </c>
      <c r="J129" s="15">
        <f>K118</f>
        <v>1268.54</v>
      </c>
      <c r="K129" s="15">
        <f t="shared" si="9"/>
        <v>46.94</v>
      </c>
    </row>
    <row r="130" customHeight="1" spans="1:11">
      <c r="A130" s="6" t="s">
        <v>55</v>
      </c>
      <c r="B130" s="5" t="s">
        <v>216</v>
      </c>
      <c r="C130" s="5"/>
      <c r="D130" s="5"/>
      <c r="E130" s="5"/>
      <c r="F130" s="5"/>
      <c r="G130" s="6" t="s">
        <v>377</v>
      </c>
      <c r="H130" s="6"/>
      <c r="I130" s="7" t="str">
        <f>'工程单价费(税)率汇总表'!G8&amp;"%"</f>
        <v>32.8%</v>
      </c>
      <c r="J130" s="15">
        <f>K119+ROUND(I124*2.7*3.46,2)+ROUND(I125*2.4*3.46,2)+ROUND(I126*1.3*3.46,2)</f>
        <v>127.99</v>
      </c>
      <c r="K130" s="15">
        <f t="shared" si="9"/>
        <v>41.98</v>
      </c>
    </row>
    <row r="131" customHeight="1" spans="1:11">
      <c r="A131" s="6" t="s">
        <v>57</v>
      </c>
      <c r="B131" s="5" t="s">
        <v>389</v>
      </c>
      <c r="C131" s="5"/>
      <c r="D131" s="5"/>
      <c r="E131" s="5"/>
      <c r="F131" s="5"/>
      <c r="G131" s="6" t="s">
        <v>377</v>
      </c>
      <c r="H131" s="6"/>
      <c r="I131" s="7" t="str">
        <f>'工程单价费(税)率汇总表'!H8&amp;"%"</f>
        <v>7%</v>
      </c>
      <c r="J131" s="15">
        <f>K118+K129+K130</f>
        <v>1357.46</v>
      </c>
      <c r="K131" s="15">
        <f t="shared" si="9"/>
        <v>95.02</v>
      </c>
    </row>
    <row r="132" customHeight="1" spans="1:11">
      <c r="A132" s="6" t="s">
        <v>59</v>
      </c>
      <c r="B132" s="5" t="s">
        <v>207</v>
      </c>
      <c r="C132" s="5"/>
      <c r="D132" s="5"/>
      <c r="E132" s="5"/>
      <c r="F132" s="5"/>
      <c r="G132" s="6" t="s">
        <v>377</v>
      </c>
      <c r="H132" s="6"/>
      <c r="I132" s="7"/>
      <c r="J132" s="7"/>
      <c r="K132" s="15">
        <f>SUM(K133:K135)</f>
        <v>1085.23</v>
      </c>
    </row>
    <row r="133" customHeight="1" spans="1:11">
      <c r="A133" s="6"/>
      <c r="B133" s="5" t="s">
        <v>324</v>
      </c>
      <c r="C133" s="5"/>
      <c r="D133" s="5"/>
      <c r="E133" s="5"/>
      <c r="F133" s="5"/>
      <c r="G133" s="6" t="s">
        <v>378</v>
      </c>
      <c r="H133" s="6"/>
      <c r="I133" s="7">
        <f>I120</f>
        <v>6</v>
      </c>
      <c r="J133" s="15">
        <v>4</v>
      </c>
      <c r="K133" s="15">
        <f t="shared" ref="K133:K137" si="10">ROUND(I133*J133,2)</f>
        <v>24</v>
      </c>
    </row>
    <row r="134" customHeight="1" spans="1:11">
      <c r="A134" s="6"/>
      <c r="B134" s="5" t="s">
        <v>390</v>
      </c>
      <c r="C134" s="5"/>
      <c r="D134" s="5"/>
      <c r="E134" s="5"/>
      <c r="F134" s="5"/>
      <c r="G134" s="6" t="s">
        <v>378</v>
      </c>
      <c r="H134" s="6"/>
      <c r="I134" s="7">
        <f>I124*2.7+I125*2.4+I126*1.3</f>
        <v>30.992</v>
      </c>
      <c r="J134" s="15">
        <v>4</v>
      </c>
      <c r="K134" s="15">
        <f t="shared" si="10"/>
        <v>123.97</v>
      </c>
    </row>
    <row r="135" customHeight="1" spans="1:11">
      <c r="A135" s="6"/>
      <c r="B135" s="5" t="s">
        <v>293</v>
      </c>
      <c r="C135" s="5" t="s">
        <v>294</v>
      </c>
      <c r="D135" s="5"/>
      <c r="E135" s="5"/>
      <c r="F135" s="5"/>
      <c r="G135" s="6" t="s">
        <v>285</v>
      </c>
      <c r="H135" s="6"/>
      <c r="I135" s="7">
        <f>I124*14.9+I125*8.4+I126*9.1</f>
        <v>208.744</v>
      </c>
      <c r="J135" s="15">
        <v>4.49</v>
      </c>
      <c r="K135" s="15">
        <f t="shared" si="10"/>
        <v>937.26</v>
      </c>
    </row>
    <row r="136" customHeight="1" spans="1:11">
      <c r="A136" s="6" t="s">
        <v>227</v>
      </c>
      <c r="B136" s="5" t="s">
        <v>208</v>
      </c>
      <c r="C136" s="5"/>
      <c r="D136" s="5"/>
      <c r="E136" s="5"/>
      <c r="F136" s="5"/>
      <c r="G136" s="6" t="s">
        <v>377</v>
      </c>
      <c r="H136" s="6"/>
      <c r="I136" s="7" t="str">
        <f>'工程单价费(税)率汇总表'!I8&amp;"%"</f>
        <v>0%</v>
      </c>
      <c r="J136" s="15">
        <f>K118+K129+K130+K131+K132</f>
        <v>2537.71</v>
      </c>
      <c r="K136" s="15">
        <f t="shared" si="10"/>
        <v>0</v>
      </c>
    </row>
    <row r="137" customHeight="1" spans="1:11">
      <c r="A137" s="6" t="s">
        <v>223</v>
      </c>
      <c r="B137" s="5" t="s">
        <v>209</v>
      </c>
      <c r="C137" s="5"/>
      <c r="D137" s="5"/>
      <c r="E137" s="5"/>
      <c r="F137" s="5"/>
      <c r="G137" s="6" t="s">
        <v>377</v>
      </c>
      <c r="H137" s="6"/>
      <c r="I137" s="7" t="str">
        <f>'工程单价费(税)率汇总表'!J8&amp;"%"</f>
        <v>9%</v>
      </c>
      <c r="J137" s="15">
        <f>K118+K129+K130+K131+K132+K136</f>
        <v>2537.71</v>
      </c>
      <c r="K137" s="15">
        <f t="shared" si="10"/>
        <v>228.39</v>
      </c>
    </row>
    <row r="138" customHeight="1" spans="1:11">
      <c r="A138" s="6"/>
      <c r="B138" s="5" t="s">
        <v>61</v>
      </c>
      <c r="C138" s="5"/>
      <c r="D138" s="5"/>
      <c r="E138" s="5"/>
      <c r="F138" s="5"/>
      <c r="G138" s="6" t="s">
        <v>377</v>
      </c>
      <c r="H138" s="6"/>
      <c r="I138" s="7"/>
      <c r="J138" s="7"/>
      <c r="K138" s="15">
        <f>K118+K129+K130+K131+K132+K136+K137</f>
        <v>2766.1</v>
      </c>
    </row>
    <row r="139" customHeight="1" spans="1:11">
      <c r="A139" s="6"/>
      <c r="B139" s="5" t="s">
        <v>391</v>
      </c>
      <c r="C139" s="5"/>
      <c r="D139" s="5"/>
      <c r="E139" s="5"/>
      <c r="F139" s="5"/>
      <c r="G139" s="6" t="s">
        <v>377</v>
      </c>
      <c r="H139" s="6"/>
      <c r="I139" s="7"/>
      <c r="J139" s="7"/>
      <c r="K139" s="15">
        <f>ROUND(K138/100,2)</f>
        <v>27.66</v>
      </c>
    </row>
    <row r="140" customHeight="1" spans="1:11">
      <c r="A140" s="6"/>
      <c r="B140" s="5"/>
      <c r="C140" s="5"/>
      <c r="D140" s="5"/>
      <c r="E140" s="5"/>
      <c r="F140" s="5"/>
      <c r="G140" s="6"/>
      <c r="H140" s="6"/>
      <c r="I140" s="7"/>
      <c r="J140" s="7"/>
      <c r="K140" s="7"/>
    </row>
    <row r="141" customHeight="1" spans="1:11">
      <c r="A141" s="6"/>
      <c r="B141" s="5"/>
      <c r="C141" s="5"/>
      <c r="D141" s="5"/>
      <c r="E141" s="5"/>
      <c r="F141" s="5"/>
      <c r="G141" s="6"/>
      <c r="H141" s="6"/>
      <c r="I141" s="7"/>
      <c r="J141" s="7"/>
      <c r="K141" s="7"/>
    </row>
    <row r="142" customHeight="1" spans="1:11">
      <c r="A142" s="6"/>
      <c r="B142" s="5"/>
      <c r="C142" s="5"/>
      <c r="D142" s="5"/>
      <c r="E142" s="5"/>
      <c r="F142" s="5"/>
      <c r="G142" s="6"/>
      <c r="H142" s="6"/>
      <c r="I142" s="7"/>
      <c r="J142" s="7"/>
      <c r="K142" s="7"/>
    </row>
    <row r="143" customHeight="1" spans="1:11">
      <c r="A143" s="6"/>
      <c r="B143" s="5"/>
      <c r="C143" s="5"/>
      <c r="D143" s="5"/>
      <c r="E143" s="5"/>
      <c r="F143" s="5"/>
      <c r="G143" s="6"/>
      <c r="H143" s="6"/>
      <c r="I143" s="7"/>
      <c r="J143" s="7"/>
      <c r="K143" s="7"/>
    </row>
    <row r="144" customHeight="1" spans="1:11">
      <c r="A144" s="6"/>
      <c r="B144" s="5"/>
      <c r="C144" s="5"/>
      <c r="D144" s="5"/>
      <c r="E144" s="5"/>
      <c r="F144" s="5"/>
      <c r="G144" s="6"/>
      <c r="H144" s="6"/>
      <c r="I144" s="7"/>
      <c r="J144" s="7"/>
      <c r="K144" s="7"/>
    </row>
    <row r="145" customHeight="1" spans="1:11">
      <c r="A145" s="6"/>
      <c r="B145" s="5"/>
      <c r="C145" s="5"/>
      <c r="D145" s="5"/>
      <c r="E145" s="5"/>
      <c r="F145" s="5"/>
      <c r="G145" s="6"/>
      <c r="H145" s="6"/>
      <c r="I145" s="7"/>
      <c r="J145" s="7"/>
      <c r="K145" s="7"/>
    </row>
    <row r="146" customHeight="1" spans="1:11">
      <c r="A146" s="6"/>
      <c r="B146" s="5"/>
      <c r="C146" s="5"/>
      <c r="D146" s="5"/>
      <c r="E146" s="5"/>
      <c r="F146" s="5"/>
      <c r="G146" s="6"/>
      <c r="H146" s="6"/>
      <c r="I146" s="7"/>
      <c r="J146" s="7"/>
      <c r="K146" s="7"/>
    </row>
    <row r="147" customHeight="1" spans="1:11">
      <c r="A147" s="6"/>
      <c r="B147" s="5"/>
      <c r="C147" s="5"/>
      <c r="D147" s="5"/>
      <c r="E147" s="5"/>
      <c r="F147" s="5"/>
      <c r="G147" s="6"/>
      <c r="H147" s="6"/>
      <c r="I147" s="7"/>
      <c r="J147" s="7"/>
      <c r="K147" s="7"/>
    </row>
    <row r="148" customHeight="1" spans="1:11">
      <c r="A148" s="6"/>
      <c r="B148" s="5"/>
      <c r="C148" s="5"/>
      <c r="D148" s="5"/>
      <c r="E148" s="5"/>
      <c r="F148" s="5"/>
      <c r="G148" s="6"/>
      <c r="H148" s="6"/>
      <c r="I148" s="7"/>
      <c r="J148" s="7"/>
      <c r="K148" s="7"/>
    </row>
    <row r="149" ht="7.5" customHeight="1" spans="1:11">
      <c r="A149" s="3"/>
      <c r="B149" s="3"/>
      <c r="C149" s="3"/>
      <c r="D149" s="3"/>
      <c r="E149" s="3"/>
      <c r="F149" s="3"/>
      <c r="G149" s="3"/>
      <c r="H149" s="3"/>
      <c r="I149" s="3"/>
      <c r="J149" s="3"/>
      <c r="K149" s="3"/>
    </row>
    <row r="150" ht="26.25" customHeight="1" spans="1:11">
      <c r="A150" s="2" t="s">
        <v>367</v>
      </c>
      <c r="B150" s="2"/>
      <c r="C150" s="2"/>
      <c r="D150" s="2"/>
      <c r="E150" s="2"/>
      <c r="F150" s="2"/>
      <c r="G150" s="2"/>
      <c r="H150" s="2"/>
      <c r="I150" s="2"/>
      <c r="J150" s="2"/>
      <c r="K150" s="2"/>
    </row>
    <row r="151" customHeight="1" spans="1:11">
      <c r="A151" s="11" t="s">
        <v>399</v>
      </c>
      <c r="B151" s="11"/>
      <c r="C151" s="11"/>
      <c r="D151" s="11"/>
      <c r="E151" s="11"/>
      <c r="F151" s="11"/>
      <c r="G151" s="11"/>
      <c r="H151" s="11"/>
      <c r="I151" s="11"/>
      <c r="J151" s="11"/>
      <c r="K151" s="11"/>
    </row>
    <row r="152" customHeight="1" spans="1:11">
      <c r="A152" s="8" t="s">
        <v>369</v>
      </c>
      <c r="B152" s="3" t="s">
        <v>225</v>
      </c>
      <c r="C152" s="3"/>
      <c r="D152" s="3"/>
      <c r="E152" s="3"/>
      <c r="F152" s="3"/>
      <c r="G152" s="3"/>
      <c r="H152" s="12" t="s">
        <v>393</v>
      </c>
      <c r="I152" s="12"/>
      <c r="J152" s="12"/>
      <c r="K152" s="12"/>
    </row>
    <row r="153" ht="27.75" customHeight="1" spans="1:11">
      <c r="A153" s="13" t="s">
        <v>371</v>
      </c>
      <c r="B153" s="14" t="s">
        <v>400</v>
      </c>
      <c r="C153" s="14"/>
      <c r="D153" s="14"/>
      <c r="E153" s="14"/>
      <c r="F153" s="14"/>
      <c r="G153" s="14"/>
      <c r="H153" s="14"/>
      <c r="I153" s="14"/>
      <c r="J153" s="14"/>
      <c r="K153" s="14"/>
    </row>
    <row r="154" customHeight="1" spans="1:11">
      <c r="A154" s="6" t="s">
        <v>48</v>
      </c>
      <c r="B154" s="6" t="s">
        <v>254</v>
      </c>
      <c r="C154" s="6" t="s">
        <v>255</v>
      </c>
      <c r="D154" s="6"/>
      <c r="E154" s="6"/>
      <c r="F154" s="6"/>
      <c r="G154" s="6" t="s">
        <v>282</v>
      </c>
      <c r="H154" s="6"/>
      <c r="I154" s="6" t="s">
        <v>373</v>
      </c>
      <c r="J154" s="6" t="s">
        <v>374</v>
      </c>
      <c r="K154" s="6" t="s">
        <v>375</v>
      </c>
    </row>
    <row r="155" customHeight="1" spans="1:11">
      <c r="A155" s="6" t="s">
        <v>51</v>
      </c>
      <c r="B155" s="5" t="s">
        <v>376</v>
      </c>
      <c r="C155" s="5"/>
      <c r="D155" s="5"/>
      <c r="E155" s="5"/>
      <c r="F155" s="5"/>
      <c r="G155" s="6" t="s">
        <v>377</v>
      </c>
      <c r="H155" s="6"/>
      <c r="I155" s="7"/>
      <c r="J155" s="7"/>
      <c r="K155" s="15">
        <f>K156+K158+K160+K162+K163</f>
        <v>682.1</v>
      </c>
    </row>
    <row r="156" customHeight="1" spans="1:11">
      <c r="A156" s="6" t="s">
        <v>72</v>
      </c>
      <c r="B156" s="5" t="s">
        <v>199</v>
      </c>
      <c r="C156" s="5"/>
      <c r="D156" s="5"/>
      <c r="E156" s="5"/>
      <c r="F156" s="5"/>
      <c r="G156" s="6" t="s">
        <v>377</v>
      </c>
      <c r="H156" s="6"/>
      <c r="I156" s="7"/>
      <c r="J156" s="7"/>
      <c r="K156" s="15">
        <f t="shared" ref="K156:K160" si="11">SUM(K157:K157)</f>
        <v>446.34</v>
      </c>
    </row>
    <row r="157" customHeight="1" spans="1:11">
      <c r="A157" s="6"/>
      <c r="B157" s="5" t="s">
        <v>324</v>
      </c>
      <c r="C157" s="5"/>
      <c r="D157" s="5"/>
      <c r="E157" s="5"/>
      <c r="F157" s="5"/>
      <c r="G157" s="6" t="s">
        <v>378</v>
      </c>
      <c r="H157" s="6"/>
      <c r="I157" s="7">
        <v>129</v>
      </c>
      <c r="J157" s="15">
        <v>3.46</v>
      </c>
      <c r="K157" s="15">
        <f t="shared" ref="K157:K166" si="12">ROUND(I157*J157,2)</f>
        <v>446.34</v>
      </c>
    </row>
    <row r="158" customHeight="1" spans="1:11">
      <c r="A158" s="6" t="s">
        <v>131</v>
      </c>
      <c r="B158" s="5" t="s">
        <v>200</v>
      </c>
      <c r="C158" s="5"/>
      <c r="D158" s="5"/>
      <c r="E158" s="5"/>
      <c r="F158" s="5"/>
      <c r="G158" s="6" t="s">
        <v>377</v>
      </c>
      <c r="H158" s="6"/>
      <c r="I158" s="7"/>
      <c r="J158" s="7"/>
      <c r="K158" s="15">
        <f t="shared" si="11"/>
        <v>29.39</v>
      </c>
    </row>
    <row r="159" customHeight="1" spans="1:11">
      <c r="A159" s="6"/>
      <c r="B159" s="5" t="s">
        <v>379</v>
      </c>
      <c r="C159" s="5"/>
      <c r="D159" s="5"/>
      <c r="E159" s="5"/>
      <c r="F159" s="5"/>
      <c r="G159" s="6" t="s">
        <v>380</v>
      </c>
      <c r="H159" s="6"/>
      <c r="I159" s="7">
        <v>5</v>
      </c>
      <c r="J159" s="15">
        <f>K157+K161</f>
        <v>587.89</v>
      </c>
      <c r="K159" s="15">
        <f>ROUND(I159*J159/100,2)</f>
        <v>29.39</v>
      </c>
    </row>
    <row r="160" customHeight="1" spans="1:11">
      <c r="A160" s="6" t="s">
        <v>381</v>
      </c>
      <c r="B160" s="5" t="s">
        <v>382</v>
      </c>
      <c r="C160" s="5"/>
      <c r="D160" s="5"/>
      <c r="E160" s="5"/>
      <c r="F160" s="5"/>
      <c r="G160" s="6" t="s">
        <v>377</v>
      </c>
      <c r="H160" s="6"/>
      <c r="I160" s="7"/>
      <c r="J160" s="7"/>
      <c r="K160" s="15">
        <f t="shared" si="11"/>
        <v>141.55</v>
      </c>
    </row>
    <row r="161" customHeight="1" spans="1:11">
      <c r="A161" s="6"/>
      <c r="B161" s="5" t="s">
        <v>336</v>
      </c>
      <c r="C161" s="5" t="s">
        <v>337</v>
      </c>
      <c r="D161" s="5"/>
      <c r="E161" s="5"/>
      <c r="F161" s="5"/>
      <c r="G161" s="6" t="s">
        <v>383</v>
      </c>
      <c r="H161" s="6"/>
      <c r="I161" s="7">
        <v>14.4</v>
      </c>
      <c r="J161" s="15">
        <f>施工机械台时费汇总表!P15</f>
        <v>9.83</v>
      </c>
      <c r="K161" s="15">
        <f t="shared" si="12"/>
        <v>141.55</v>
      </c>
    </row>
    <row r="162" customHeight="1" spans="1:11">
      <c r="A162" s="6" t="s">
        <v>384</v>
      </c>
      <c r="B162" s="5" t="s">
        <v>385</v>
      </c>
      <c r="C162" s="5"/>
      <c r="D162" s="5"/>
      <c r="E162" s="5"/>
      <c r="F162" s="5"/>
      <c r="G162" s="6" t="s">
        <v>377</v>
      </c>
      <c r="H162" s="6"/>
      <c r="I162" s="7" t="str">
        <f>'工程单价费(税)率汇总表'!D10&amp;"%"</f>
        <v>4.5%</v>
      </c>
      <c r="J162" s="15">
        <f>K156+K158+K160</f>
        <v>617.28</v>
      </c>
      <c r="K162" s="15">
        <f t="shared" si="12"/>
        <v>27.78</v>
      </c>
    </row>
    <row r="163" customHeight="1" spans="1:11">
      <c r="A163" s="6" t="s">
        <v>386</v>
      </c>
      <c r="B163" s="5" t="s">
        <v>387</v>
      </c>
      <c r="C163" s="5"/>
      <c r="D163" s="5"/>
      <c r="E163" s="5"/>
      <c r="F163" s="5"/>
      <c r="G163" s="6" t="s">
        <v>377</v>
      </c>
      <c r="H163" s="6"/>
      <c r="I163" s="7" t="str">
        <f>'工程单价费(税)率汇总表'!E10&amp;"%"</f>
        <v>6%</v>
      </c>
      <c r="J163" s="15">
        <f>K156+K158+K160</f>
        <v>617.28</v>
      </c>
      <c r="K163" s="15">
        <f t="shared" si="12"/>
        <v>37.04</v>
      </c>
    </row>
    <row r="164" customHeight="1" spans="1:11">
      <c r="A164" s="6" t="s">
        <v>53</v>
      </c>
      <c r="B164" s="5" t="s">
        <v>388</v>
      </c>
      <c r="C164" s="5"/>
      <c r="D164" s="5"/>
      <c r="E164" s="5"/>
      <c r="F164" s="5"/>
      <c r="G164" s="6" t="s">
        <v>377</v>
      </c>
      <c r="H164" s="6"/>
      <c r="I164" s="7" t="str">
        <f>'工程单价费(税)率汇总表'!F10&amp;"%"</f>
        <v>5.8%</v>
      </c>
      <c r="J164" s="15">
        <f>K155</f>
        <v>682.1</v>
      </c>
      <c r="K164" s="15">
        <f t="shared" si="12"/>
        <v>39.56</v>
      </c>
    </row>
    <row r="165" customHeight="1" spans="1:11">
      <c r="A165" s="6" t="s">
        <v>55</v>
      </c>
      <c r="B165" s="5" t="s">
        <v>216</v>
      </c>
      <c r="C165" s="5"/>
      <c r="D165" s="5"/>
      <c r="E165" s="5"/>
      <c r="F165" s="5"/>
      <c r="G165" s="6" t="s">
        <v>377</v>
      </c>
      <c r="H165" s="6"/>
      <c r="I165" s="7" t="str">
        <f>'工程单价费(税)率汇总表'!G10&amp;"%"</f>
        <v>32.8%</v>
      </c>
      <c r="J165" s="15">
        <f>K156+ROUND(I161*2*3.46,2)</f>
        <v>545.99</v>
      </c>
      <c r="K165" s="15">
        <f t="shared" si="12"/>
        <v>179.08</v>
      </c>
    </row>
    <row r="166" customHeight="1" spans="1:11">
      <c r="A166" s="6" t="s">
        <v>57</v>
      </c>
      <c r="B166" s="5" t="s">
        <v>389</v>
      </c>
      <c r="C166" s="5"/>
      <c r="D166" s="5"/>
      <c r="E166" s="5"/>
      <c r="F166" s="5"/>
      <c r="G166" s="6" t="s">
        <v>377</v>
      </c>
      <c r="H166" s="6"/>
      <c r="I166" s="7" t="str">
        <f>'工程单价费(税)率汇总表'!H10&amp;"%"</f>
        <v>7%</v>
      </c>
      <c r="J166" s="15">
        <f>K155+K164+K165</f>
        <v>900.74</v>
      </c>
      <c r="K166" s="15">
        <f t="shared" si="12"/>
        <v>63.05</v>
      </c>
    </row>
    <row r="167" customHeight="1" spans="1:11">
      <c r="A167" s="6" t="s">
        <v>59</v>
      </c>
      <c r="B167" s="5" t="s">
        <v>207</v>
      </c>
      <c r="C167" s="5"/>
      <c r="D167" s="5"/>
      <c r="E167" s="5"/>
      <c r="F167" s="5"/>
      <c r="G167" s="6" t="s">
        <v>377</v>
      </c>
      <c r="H167" s="6"/>
      <c r="I167" s="7"/>
      <c r="J167" s="7"/>
      <c r="K167" s="15">
        <f>SUM(K168:K169)</f>
        <v>631.2</v>
      </c>
    </row>
    <row r="168" customHeight="1" spans="1:11">
      <c r="A168" s="6"/>
      <c r="B168" s="5" t="s">
        <v>324</v>
      </c>
      <c r="C168" s="5"/>
      <c r="D168" s="5"/>
      <c r="E168" s="5"/>
      <c r="F168" s="5"/>
      <c r="G168" s="6" t="s">
        <v>378</v>
      </c>
      <c r="H168" s="6"/>
      <c r="I168" s="7">
        <f>I157</f>
        <v>129</v>
      </c>
      <c r="J168" s="15">
        <v>4</v>
      </c>
      <c r="K168" s="15">
        <f t="shared" ref="K168:K171" si="13">ROUND(I168*J168,2)</f>
        <v>516</v>
      </c>
    </row>
    <row r="169" customHeight="1" spans="1:11">
      <c r="A169" s="6"/>
      <c r="B169" s="5" t="s">
        <v>390</v>
      </c>
      <c r="C169" s="5"/>
      <c r="D169" s="5"/>
      <c r="E169" s="5"/>
      <c r="F169" s="5"/>
      <c r="G169" s="6" t="s">
        <v>378</v>
      </c>
      <c r="H169" s="6"/>
      <c r="I169" s="7">
        <f>I161*2</f>
        <v>28.8</v>
      </c>
      <c r="J169" s="15">
        <v>4</v>
      </c>
      <c r="K169" s="15">
        <f t="shared" si="13"/>
        <v>115.2</v>
      </c>
    </row>
    <row r="170" customHeight="1" spans="1:11">
      <c r="A170" s="6" t="s">
        <v>227</v>
      </c>
      <c r="B170" s="5" t="s">
        <v>208</v>
      </c>
      <c r="C170" s="5"/>
      <c r="D170" s="5"/>
      <c r="E170" s="5"/>
      <c r="F170" s="5"/>
      <c r="G170" s="6" t="s">
        <v>377</v>
      </c>
      <c r="H170" s="6"/>
      <c r="I170" s="7" t="str">
        <f>'工程单价费(税)率汇总表'!I10&amp;"%"</f>
        <v>0%</v>
      </c>
      <c r="J170" s="15">
        <f>K155+K164+K165+K166+K167</f>
        <v>1594.99</v>
      </c>
      <c r="K170" s="15">
        <f t="shared" si="13"/>
        <v>0</v>
      </c>
    </row>
    <row r="171" customHeight="1" spans="1:11">
      <c r="A171" s="6" t="s">
        <v>223</v>
      </c>
      <c r="B171" s="5" t="s">
        <v>209</v>
      </c>
      <c r="C171" s="5"/>
      <c r="D171" s="5"/>
      <c r="E171" s="5"/>
      <c r="F171" s="5"/>
      <c r="G171" s="6" t="s">
        <v>377</v>
      </c>
      <c r="H171" s="6"/>
      <c r="I171" s="7" t="str">
        <f>'工程单价费(税)率汇总表'!J10&amp;"%"</f>
        <v>9%</v>
      </c>
      <c r="J171" s="15">
        <f>K155+K164+K165+K166+K167+K170</f>
        <v>1594.99</v>
      </c>
      <c r="K171" s="15">
        <f t="shared" si="13"/>
        <v>143.55</v>
      </c>
    </row>
    <row r="172" customHeight="1" spans="1:11">
      <c r="A172" s="6"/>
      <c r="B172" s="5" t="s">
        <v>61</v>
      </c>
      <c r="C172" s="5"/>
      <c r="D172" s="5"/>
      <c r="E172" s="5"/>
      <c r="F172" s="5"/>
      <c r="G172" s="6" t="s">
        <v>377</v>
      </c>
      <c r="H172" s="6"/>
      <c r="I172" s="7"/>
      <c r="J172" s="7"/>
      <c r="K172" s="15">
        <f>K155+K164+K165+K166+K167+K170+K171</f>
        <v>1738.54</v>
      </c>
    </row>
    <row r="173" customHeight="1" spans="1:11">
      <c r="A173" s="6"/>
      <c r="B173" s="5" t="s">
        <v>391</v>
      </c>
      <c r="C173" s="5"/>
      <c r="D173" s="5"/>
      <c r="E173" s="5"/>
      <c r="F173" s="5"/>
      <c r="G173" s="6" t="s">
        <v>377</v>
      </c>
      <c r="H173" s="6"/>
      <c r="I173" s="7"/>
      <c r="J173" s="7"/>
      <c r="K173" s="15">
        <f>ROUND(K172/100,2)</f>
        <v>17.39</v>
      </c>
    </row>
    <row r="174" customHeight="1" spans="1:11">
      <c r="A174" s="6"/>
      <c r="B174" s="5"/>
      <c r="C174" s="5"/>
      <c r="D174" s="5"/>
      <c r="E174" s="5"/>
      <c r="F174" s="5"/>
      <c r="G174" s="6"/>
      <c r="H174" s="6"/>
      <c r="I174" s="7"/>
      <c r="J174" s="7"/>
      <c r="K174" s="7"/>
    </row>
    <row r="175" customHeight="1" spans="1:11">
      <c r="A175" s="6"/>
      <c r="B175" s="5"/>
      <c r="C175" s="5"/>
      <c r="D175" s="5"/>
      <c r="E175" s="5"/>
      <c r="F175" s="5"/>
      <c r="G175" s="6"/>
      <c r="H175" s="6"/>
      <c r="I175" s="7"/>
      <c r="J175" s="7"/>
      <c r="K175" s="7"/>
    </row>
    <row r="176" customHeight="1" spans="1:11">
      <c r="A176" s="6"/>
      <c r="B176" s="5"/>
      <c r="C176" s="5"/>
      <c r="D176" s="5"/>
      <c r="E176" s="5"/>
      <c r="F176" s="5"/>
      <c r="G176" s="6"/>
      <c r="H176" s="6"/>
      <c r="I176" s="7"/>
      <c r="J176" s="7"/>
      <c r="K176" s="7"/>
    </row>
    <row r="177" customHeight="1" spans="1:11">
      <c r="A177" s="6"/>
      <c r="B177" s="5"/>
      <c r="C177" s="5"/>
      <c r="D177" s="5"/>
      <c r="E177" s="5"/>
      <c r="F177" s="5"/>
      <c r="G177" s="6"/>
      <c r="H177" s="6"/>
      <c r="I177" s="7"/>
      <c r="J177" s="7"/>
      <c r="K177" s="7"/>
    </row>
    <row r="178" customHeight="1" spans="1:11">
      <c r="A178" s="6"/>
      <c r="B178" s="5"/>
      <c r="C178" s="5"/>
      <c r="D178" s="5"/>
      <c r="E178" s="5"/>
      <c r="F178" s="5"/>
      <c r="G178" s="6"/>
      <c r="H178" s="6"/>
      <c r="I178" s="7"/>
      <c r="J178" s="7"/>
      <c r="K178" s="7"/>
    </row>
    <row r="179" customHeight="1" spans="1:11">
      <c r="A179" s="6"/>
      <c r="B179" s="5"/>
      <c r="C179" s="5"/>
      <c r="D179" s="5"/>
      <c r="E179" s="5"/>
      <c r="F179" s="5"/>
      <c r="G179" s="6"/>
      <c r="H179" s="6"/>
      <c r="I179" s="7"/>
      <c r="J179" s="7"/>
      <c r="K179" s="7"/>
    </row>
    <row r="180" customHeight="1" spans="1:11">
      <c r="A180" s="6"/>
      <c r="B180" s="5"/>
      <c r="C180" s="5"/>
      <c r="D180" s="5"/>
      <c r="E180" s="5"/>
      <c r="F180" s="5"/>
      <c r="G180" s="6"/>
      <c r="H180" s="6"/>
      <c r="I180" s="7"/>
      <c r="J180" s="7"/>
      <c r="K180" s="7"/>
    </row>
    <row r="181" customHeight="1" spans="1:11">
      <c r="A181" s="6"/>
      <c r="B181" s="5"/>
      <c r="C181" s="5"/>
      <c r="D181" s="5"/>
      <c r="E181" s="5"/>
      <c r="F181" s="5"/>
      <c r="G181" s="6"/>
      <c r="H181" s="6"/>
      <c r="I181" s="7"/>
      <c r="J181" s="7"/>
      <c r="K181" s="7"/>
    </row>
    <row r="182" customHeight="1" spans="1:11">
      <c r="A182" s="6"/>
      <c r="B182" s="5"/>
      <c r="C182" s="5"/>
      <c r="D182" s="5"/>
      <c r="E182" s="5"/>
      <c r="F182" s="5"/>
      <c r="G182" s="6"/>
      <c r="H182" s="6"/>
      <c r="I182" s="7"/>
      <c r="J182" s="7"/>
      <c r="K182" s="7"/>
    </row>
    <row r="183" customHeight="1" spans="1:11">
      <c r="A183" s="6"/>
      <c r="B183" s="5"/>
      <c r="C183" s="5"/>
      <c r="D183" s="5"/>
      <c r="E183" s="5"/>
      <c r="F183" s="5"/>
      <c r="G183" s="6"/>
      <c r="H183" s="6"/>
      <c r="I183" s="7"/>
      <c r="J183" s="7"/>
      <c r="K183" s="7"/>
    </row>
    <row r="184" customHeight="1" spans="1:11">
      <c r="A184" s="6"/>
      <c r="B184" s="5"/>
      <c r="C184" s="5"/>
      <c r="D184" s="5"/>
      <c r="E184" s="5"/>
      <c r="F184" s="5"/>
      <c r="G184" s="6"/>
      <c r="H184" s="6"/>
      <c r="I184" s="7"/>
      <c r="J184" s="7"/>
      <c r="K184" s="7"/>
    </row>
    <row r="185" customHeight="1" spans="1:11">
      <c r="A185" s="6"/>
      <c r="B185" s="5"/>
      <c r="C185" s="5"/>
      <c r="D185" s="5"/>
      <c r="E185" s="5"/>
      <c r="F185" s="5"/>
      <c r="G185" s="6"/>
      <c r="H185" s="6"/>
      <c r="I185" s="7"/>
      <c r="J185" s="7"/>
      <c r="K185" s="7"/>
    </row>
    <row r="186" ht="7.5" customHeight="1" spans="1:11">
      <c r="A186" s="3"/>
      <c r="B186" s="3"/>
      <c r="C186" s="3"/>
      <c r="D186" s="3"/>
      <c r="E186" s="3"/>
      <c r="F186" s="3"/>
      <c r="G186" s="3"/>
      <c r="H186" s="3"/>
      <c r="I186" s="3"/>
      <c r="J186" s="3"/>
      <c r="K186" s="3"/>
    </row>
    <row r="187" ht="26.25" customHeight="1" spans="1:11">
      <c r="A187" s="2" t="s">
        <v>367</v>
      </c>
      <c r="B187" s="2"/>
      <c r="C187" s="2"/>
      <c r="D187" s="2"/>
      <c r="E187" s="2"/>
      <c r="F187" s="2"/>
      <c r="G187" s="2"/>
      <c r="H187" s="2"/>
      <c r="I187" s="2"/>
      <c r="J187" s="2"/>
      <c r="K187" s="2"/>
    </row>
    <row r="188" customHeight="1" spans="1:11">
      <c r="A188" s="11" t="s">
        <v>401</v>
      </c>
      <c r="B188" s="11"/>
      <c r="C188" s="11"/>
      <c r="D188" s="11"/>
      <c r="E188" s="11"/>
      <c r="F188" s="11"/>
      <c r="G188" s="11"/>
      <c r="H188" s="11"/>
      <c r="I188" s="11"/>
      <c r="J188" s="11"/>
      <c r="K188" s="11"/>
    </row>
    <row r="189" customHeight="1" spans="1:11">
      <c r="A189" s="8" t="s">
        <v>369</v>
      </c>
      <c r="B189" s="3" t="s">
        <v>244</v>
      </c>
      <c r="C189" s="3"/>
      <c r="D189" s="3"/>
      <c r="E189" s="3"/>
      <c r="F189" s="3"/>
      <c r="G189" s="3"/>
      <c r="H189" s="12" t="s">
        <v>393</v>
      </c>
      <c r="I189" s="12"/>
      <c r="J189" s="12"/>
      <c r="K189" s="12"/>
    </row>
    <row r="190" ht="27.75" customHeight="1" spans="1:11">
      <c r="A190" s="13" t="s">
        <v>371</v>
      </c>
      <c r="B190" s="14" t="s">
        <v>402</v>
      </c>
      <c r="C190" s="14"/>
      <c r="D190" s="14"/>
      <c r="E190" s="14"/>
      <c r="F190" s="14"/>
      <c r="G190" s="14"/>
      <c r="H190" s="14"/>
      <c r="I190" s="14"/>
      <c r="J190" s="14"/>
      <c r="K190" s="14"/>
    </row>
    <row r="191" customHeight="1" spans="1:11">
      <c r="A191" s="6" t="s">
        <v>48</v>
      </c>
      <c r="B191" s="6" t="s">
        <v>254</v>
      </c>
      <c r="C191" s="6" t="s">
        <v>255</v>
      </c>
      <c r="D191" s="6"/>
      <c r="E191" s="6"/>
      <c r="F191" s="6"/>
      <c r="G191" s="6" t="s">
        <v>282</v>
      </c>
      <c r="H191" s="6"/>
      <c r="I191" s="6" t="s">
        <v>373</v>
      </c>
      <c r="J191" s="6" t="s">
        <v>374</v>
      </c>
      <c r="K191" s="6" t="s">
        <v>375</v>
      </c>
    </row>
    <row r="192" customHeight="1" spans="1:11">
      <c r="A192" s="6" t="s">
        <v>51</v>
      </c>
      <c r="B192" s="5" t="s">
        <v>376</v>
      </c>
      <c r="C192" s="5"/>
      <c r="D192" s="5"/>
      <c r="E192" s="5"/>
      <c r="F192" s="5"/>
      <c r="G192" s="6" t="s">
        <v>377</v>
      </c>
      <c r="H192" s="6"/>
      <c r="I192" s="7"/>
      <c r="J192" s="7"/>
      <c r="K192" s="15">
        <f>K193+K195+K198+K200+K201</f>
        <v>3965.86</v>
      </c>
    </row>
    <row r="193" customHeight="1" spans="1:11">
      <c r="A193" s="6" t="s">
        <v>72</v>
      </c>
      <c r="B193" s="5" t="s">
        <v>199</v>
      </c>
      <c r="C193" s="5"/>
      <c r="D193" s="5"/>
      <c r="E193" s="5"/>
      <c r="F193" s="5"/>
      <c r="G193" s="6" t="s">
        <v>377</v>
      </c>
      <c r="H193" s="6"/>
      <c r="I193" s="7"/>
      <c r="J193" s="7"/>
      <c r="K193" s="15">
        <f>SUM(K194:K194)</f>
        <v>413.82</v>
      </c>
    </row>
    <row r="194" customHeight="1" spans="1:11">
      <c r="A194" s="6"/>
      <c r="B194" s="5" t="s">
        <v>324</v>
      </c>
      <c r="C194" s="5"/>
      <c r="D194" s="5"/>
      <c r="E194" s="5"/>
      <c r="F194" s="5"/>
      <c r="G194" s="6" t="s">
        <v>378</v>
      </c>
      <c r="H194" s="6"/>
      <c r="I194" s="7">
        <v>119.6</v>
      </c>
      <c r="J194" s="15">
        <v>3.46</v>
      </c>
      <c r="K194" s="15">
        <f t="shared" ref="K194:K204" si="14">ROUND(I194*J194,2)</f>
        <v>413.82</v>
      </c>
    </row>
    <row r="195" customHeight="1" spans="1:11">
      <c r="A195" s="6" t="s">
        <v>131</v>
      </c>
      <c r="B195" s="5" t="s">
        <v>200</v>
      </c>
      <c r="C195" s="5"/>
      <c r="D195" s="5"/>
      <c r="E195" s="5"/>
      <c r="F195" s="5"/>
      <c r="G195" s="6" t="s">
        <v>377</v>
      </c>
      <c r="H195" s="6"/>
      <c r="I195" s="7"/>
      <c r="J195" s="7"/>
      <c r="K195" s="15">
        <f>SUM(K196:K197)</f>
        <v>3120.9</v>
      </c>
    </row>
    <row r="196" customHeight="1" spans="1:11">
      <c r="A196" s="6"/>
      <c r="B196" s="5" t="s">
        <v>303</v>
      </c>
      <c r="C196" s="5"/>
      <c r="D196" s="5"/>
      <c r="E196" s="5"/>
      <c r="F196" s="5"/>
      <c r="G196" s="6" t="s">
        <v>82</v>
      </c>
      <c r="H196" s="6"/>
      <c r="I196" s="7">
        <v>103</v>
      </c>
      <c r="J196" s="15">
        <v>30</v>
      </c>
      <c r="K196" s="15">
        <f t="shared" si="14"/>
        <v>3090</v>
      </c>
    </row>
    <row r="197" customHeight="1" spans="1:11">
      <c r="A197" s="6"/>
      <c r="B197" s="5" t="s">
        <v>403</v>
      </c>
      <c r="C197" s="5"/>
      <c r="D197" s="5"/>
      <c r="E197" s="5"/>
      <c r="F197" s="5"/>
      <c r="G197" s="6" t="s">
        <v>380</v>
      </c>
      <c r="H197" s="6"/>
      <c r="I197" s="7">
        <v>1</v>
      </c>
      <c r="J197" s="15">
        <f>K196</f>
        <v>3090</v>
      </c>
      <c r="K197" s="15">
        <f>ROUND(I197*J197/100,2)</f>
        <v>30.9</v>
      </c>
    </row>
    <row r="198" customHeight="1" spans="1:11">
      <c r="A198" s="6" t="s">
        <v>381</v>
      </c>
      <c r="B198" s="5" t="s">
        <v>382</v>
      </c>
      <c r="C198" s="5"/>
      <c r="D198" s="5"/>
      <c r="E198" s="5"/>
      <c r="F198" s="5"/>
      <c r="G198" s="6" t="s">
        <v>377</v>
      </c>
      <c r="H198" s="6"/>
      <c r="I198" s="7"/>
      <c r="J198" s="7"/>
      <c r="K198" s="15">
        <f>SUM(K199:K199)</f>
        <v>54.29</v>
      </c>
    </row>
    <row r="199" customHeight="1" spans="1:11">
      <c r="A199" s="6"/>
      <c r="B199" s="5" t="s">
        <v>352</v>
      </c>
      <c r="C199" s="5"/>
      <c r="D199" s="5"/>
      <c r="E199" s="5"/>
      <c r="F199" s="5"/>
      <c r="G199" s="6" t="s">
        <v>383</v>
      </c>
      <c r="H199" s="6"/>
      <c r="I199" s="7">
        <v>66.21</v>
      </c>
      <c r="J199" s="15">
        <f>施工机械台时费汇总表!P22</f>
        <v>0.82</v>
      </c>
      <c r="K199" s="15">
        <f t="shared" si="14"/>
        <v>54.29</v>
      </c>
    </row>
    <row r="200" customHeight="1" spans="1:11">
      <c r="A200" s="6" t="s">
        <v>384</v>
      </c>
      <c r="B200" s="5" t="s">
        <v>385</v>
      </c>
      <c r="C200" s="5"/>
      <c r="D200" s="5"/>
      <c r="E200" s="5"/>
      <c r="F200" s="5"/>
      <c r="G200" s="6" t="s">
        <v>377</v>
      </c>
      <c r="H200" s="6"/>
      <c r="I200" s="7" t="str">
        <f>'工程单价费(税)率汇总表'!D10&amp;"%"</f>
        <v>4.5%</v>
      </c>
      <c r="J200" s="15">
        <f>K193+K195+K198</f>
        <v>3589.01</v>
      </c>
      <c r="K200" s="15">
        <f t="shared" si="14"/>
        <v>161.51</v>
      </c>
    </row>
    <row r="201" customHeight="1" spans="1:11">
      <c r="A201" s="6" t="s">
        <v>386</v>
      </c>
      <c r="B201" s="5" t="s">
        <v>387</v>
      </c>
      <c r="C201" s="5"/>
      <c r="D201" s="5"/>
      <c r="E201" s="5"/>
      <c r="F201" s="5"/>
      <c r="G201" s="6" t="s">
        <v>377</v>
      </c>
      <c r="H201" s="6"/>
      <c r="I201" s="7" t="str">
        <f>'工程单价费(税)率汇总表'!E10&amp;"%"</f>
        <v>6%</v>
      </c>
      <c r="J201" s="15">
        <f>K193+K195+K198</f>
        <v>3589.01</v>
      </c>
      <c r="K201" s="15">
        <f t="shared" si="14"/>
        <v>215.34</v>
      </c>
    </row>
    <row r="202" customHeight="1" spans="1:11">
      <c r="A202" s="6" t="s">
        <v>53</v>
      </c>
      <c r="B202" s="5" t="s">
        <v>388</v>
      </c>
      <c r="C202" s="5"/>
      <c r="D202" s="5"/>
      <c r="E202" s="5"/>
      <c r="F202" s="5"/>
      <c r="G202" s="6" t="s">
        <v>377</v>
      </c>
      <c r="H202" s="6"/>
      <c r="I202" s="7" t="str">
        <f>'工程单价费(税)率汇总表'!F10&amp;"%"</f>
        <v>5.8%</v>
      </c>
      <c r="J202" s="15">
        <f>K192</f>
        <v>3965.86</v>
      </c>
      <c r="K202" s="15">
        <f t="shared" si="14"/>
        <v>230.02</v>
      </c>
    </row>
    <row r="203" customHeight="1" spans="1:11">
      <c r="A203" s="6" t="s">
        <v>55</v>
      </c>
      <c r="B203" s="5" t="s">
        <v>216</v>
      </c>
      <c r="C203" s="5"/>
      <c r="D203" s="5"/>
      <c r="E203" s="5"/>
      <c r="F203" s="5"/>
      <c r="G203" s="6" t="s">
        <v>377</v>
      </c>
      <c r="H203" s="6"/>
      <c r="I203" s="7" t="str">
        <f>'工程单价费(税)率汇总表'!G10&amp;"%"</f>
        <v>32.8%</v>
      </c>
      <c r="J203" s="15">
        <f>K193</f>
        <v>413.82</v>
      </c>
      <c r="K203" s="15">
        <f t="shared" si="14"/>
        <v>135.73</v>
      </c>
    </row>
    <row r="204" customHeight="1" spans="1:11">
      <c r="A204" s="6" t="s">
        <v>57</v>
      </c>
      <c r="B204" s="5" t="s">
        <v>389</v>
      </c>
      <c r="C204" s="5"/>
      <c r="D204" s="5"/>
      <c r="E204" s="5"/>
      <c r="F204" s="5"/>
      <c r="G204" s="6" t="s">
        <v>377</v>
      </c>
      <c r="H204" s="6"/>
      <c r="I204" s="7" t="str">
        <f>'工程单价费(税)率汇总表'!H10&amp;"%"</f>
        <v>7%</v>
      </c>
      <c r="J204" s="15">
        <f>K192+K202+K203</f>
        <v>4331.61</v>
      </c>
      <c r="K204" s="15">
        <f t="shared" si="14"/>
        <v>303.21</v>
      </c>
    </row>
    <row r="205" customHeight="1" spans="1:11">
      <c r="A205" s="6" t="s">
        <v>59</v>
      </c>
      <c r="B205" s="5" t="s">
        <v>207</v>
      </c>
      <c r="C205" s="5"/>
      <c r="D205" s="5"/>
      <c r="E205" s="5"/>
      <c r="F205" s="5"/>
      <c r="G205" s="6" t="s">
        <v>377</v>
      </c>
      <c r="H205" s="6"/>
      <c r="I205" s="7"/>
      <c r="J205" s="7"/>
      <c r="K205" s="15">
        <f>SUM(K206:K207)</f>
        <v>5576.9</v>
      </c>
    </row>
    <row r="206" customHeight="1" spans="1:11">
      <c r="A206" s="6"/>
      <c r="B206" s="5" t="s">
        <v>324</v>
      </c>
      <c r="C206" s="5"/>
      <c r="D206" s="5"/>
      <c r="E206" s="5"/>
      <c r="F206" s="5"/>
      <c r="G206" s="6" t="s">
        <v>378</v>
      </c>
      <c r="H206" s="6"/>
      <c r="I206" s="7">
        <f>I194</f>
        <v>119.6</v>
      </c>
      <c r="J206" s="15">
        <v>4</v>
      </c>
      <c r="K206" s="15">
        <f t="shared" ref="K206:K209" si="15">ROUND(I206*J206,2)</f>
        <v>478.4</v>
      </c>
    </row>
    <row r="207" customHeight="1" spans="1:11">
      <c r="A207" s="6"/>
      <c r="B207" s="5" t="s">
        <v>303</v>
      </c>
      <c r="C207" s="5"/>
      <c r="D207" s="5"/>
      <c r="E207" s="5"/>
      <c r="F207" s="5"/>
      <c r="G207" s="6" t="s">
        <v>82</v>
      </c>
      <c r="H207" s="6"/>
      <c r="I207" s="7">
        <f>I196</f>
        <v>103</v>
      </c>
      <c r="J207" s="15">
        <v>49.5</v>
      </c>
      <c r="K207" s="15">
        <f t="shared" si="15"/>
        <v>5098.5</v>
      </c>
    </row>
    <row r="208" customHeight="1" spans="1:11">
      <c r="A208" s="6" t="s">
        <v>227</v>
      </c>
      <c r="B208" s="5" t="s">
        <v>208</v>
      </c>
      <c r="C208" s="5"/>
      <c r="D208" s="5"/>
      <c r="E208" s="5"/>
      <c r="F208" s="5"/>
      <c r="G208" s="6" t="s">
        <v>377</v>
      </c>
      <c r="H208" s="6"/>
      <c r="I208" s="7" t="str">
        <f>'工程单价费(税)率汇总表'!I10&amp;"%"</f>
        <v>0%</v>
      </c>
      <c r="J208" s="15">
        <f>K192+K202+K203+K204+K205</f>
        <v>10211.72</v>
      </c>
      <c r="K208" s="15">
        <f t="shared" si="15"/>
        <v>0</v>
      </c>
    </row>
    <row r="209" customHeight="1" spans="1:11">
      <c r="A209" s="6" t="s">
        <v>223</v>
      </c>
      <c r="B209" s="5" t="s">
        <v>209</v>
      </c>
      <c r="C209" s="5"/>
      <c r="D209" s="5"/>
      <c r="E209" s="5"/>
      <c r="F209" s="5"/>
      <c r="G209" s="6" t="s">
        <v>377</v>
      </c>
      <c r="H209" s="6"/>
      <c r="I209" s="7" t="str">
        <f>'工程单价费(税)率汇总表'!J10&amp;"%"</f>
        <v>9%</v>
      </c>
      <c r="J209" s="15">
        <f>K192+K202+K203+K204+K205+K208</f>
        <v>10211.72</v>
      </c>
      <c r="K209" s="15">
        <f t="shared" si="15"/>
        <v>919.05</v>
      </c>
    </row>
    <row r="210" customHeight="1" spans="1:11">
      <c r="A210" s="6"/>
      <c r="B210" s="5" t="s">
        <v>61</v>
      </c>
      <c r="C210" s="5"/>
      <c r="D210" s="5"/>
      <c r="E210" s="5"/>
      <c r="F210" s="5"/>
      <c r="G210" s="6" t="s">
        <v>377</v>
      </c>
      <c r="H210" s="6"/>
      <c r="I210" s="7"/>
      <c r="J210" s="7"/>
      <c r="K210" s="15">
        <f>K192+K202+K203+K204+K205+K208+K209</f>
        <v>11130.77</v>
      </c>
    </row>
    <row r="211" customHeight="1" spans="1:11">
      <c r="A211" s="6"/>
      <c r="B211" s="5" t="s">
        <v>391</v>
      </c>
      <c r="C211" s="5"/>
      <c r="D211" s="5"/>
      <c r="E211" s="5"/>
      <c r="F211" s="5"/>
      <c r="G211" s="6" t="s">
        <v>377</v>
      </c>
      <c r="H211" s="6"/>
      <c r="I211" s="7"/>
      <c r="J211" s="7"/>
      <c r="K211" s="15">
        <f>ROUND(K210/100,2)</f>
        <v>111.31</v>
      </c>
    </row>
    <row r="212" customHeight="1" spans="1:11">
      <c r="A212" s="6"/>
      <c r="B212" s="5"/>
      <c r="C212" s="5"/>
      <c r="D212" s="5"/>
      <c r="E212" s="5"/>
      <c r="F212" s="5"/>
      <c r="G212" s="6"/>
      <c r="H212" s="6"/>
      <c r="I212" s="7"/>
      <c r="J212" s="7"/>
      <c r="K212" s="7"/>
    </row>
    <row r="213" customHeight="1" spans="1:11">
      <c r="A213" s="6"/>
      <c r="B213" s="5"/>
      <c r="C213" s="5"/>
      <c r="D213" s="5"/>
      <c r="E213" s="5"/>
      <c r="F213" s="5"/>
      <c r="G213" s="6"/>
      <c r="H213" s="6"/>
      <c r="I213" s="7"/>
      <c r="J213" s="7"/>
      <c r="K213" s="7"/>
    </row>
    <row r="214" customHeight="1" spans="1:11">
      <c r="A214" s="6"/>
      <c r="B214" s="5"/>
      <c r="C214" s="5"/>
      <c r="D214" s="5"/>
      <c r="E214" s="5"/>
      <c r="F214" s="5"/>
      <c r="G214" s="6"/>
      <c r="H214" s="6"/>
      <c r="I214" s="7"/>
      <c r="J214" s="7"/>
      <c r="K214" s="7"/>
    </row>
    <row r="215" customHeight="1" spans="1:11">
      <c r="A215" s="6"/>
      <c r="B215" s="5"/>
      <c r="C215" s="5"/>
      <c r="D215" s="5"/>
      <c r="E215" s="5"/>
      <c r="F215" s="5"/>
      <c r="G215" s="6"/>
      <c r="H215" s="6"/>
      <c r="I215" s="7"/>
      <c r="J215" s="7"/>
      <c r="K215" s="7"/>
    </row>
    <row r="216" customHeight="1" spans="1:11">
      <c r="A216" s="6"/>
      <c r="B216" s="5"/>
      <c r="C216" s="5"/>
      <c r="D216" s="5"/>
      <c r="E216" s="5"/>
      <c r="F216" s="5"/>
      <c r="G216" s="6"/>
      <c r="H216" s="6"/>
      <c r="I216" s="7"/>
      <c r="J216" s="7"/>
      <c r="K216" s="7"/>
    </row>
    <row r="217" customHeight="1" spans="1:11">
      <c r="A217" s="6"/>
      <c r="B217" s="5"/>
      <c r="C217" s="5"/>
      <c r="D217" s="5"/>
      <c r="E217" s="5"/>
      <c r="F217" s="5"/>
      <c r="G217" s="6"/>
      <c r="H217" s="6"/>
      <c r="I217" s="7"/>
      <c r="J217" s="7"/>
      <c r="K217" s="7"/>
    </row>
    <row r="218" customHeight="1" spans="1:11">
      <c r="A218" s="6"/>
      <c r="B218" s="5"/>
      <c r="C218" s="5"/>
      <c r="D218" s="5"/>
      <c r="E218" s="5"/>
      <c r="F218" s="5"/>
      <c r="G218" s="6"/>
      <c r="H218" s="6"/>
      <c r="I218" s="7"/>
      <c r="J218" s="7"/>
      <c r="K218" s="7"/>
    </row>
    <row r="219" customHeight="1" spans="1:11">
      <c r="A219" s="6"/>
      <c r="B219" s="5"/>
      <c r="C219" s="5"/>
      <c r="D219" s="5"/>
      <c r="E219" s="5"/>
      <c r="F219" s="5"/>
      <c r="G219" s="6"/>
      <c r="H219" s="6"/>
      <c r="I219" s="7"/>
      <c r="J219" s="7"/>
      <c r="K219" s="7"/>
    </row>
    <row r="220" customHeight="1" spans="1:11">
      <c r="A220" s="6"/>
      <c r="B220" s="5"/>
      <c r="C220" s="5"/>
      <c r="D220" s="5"/>
      <c r="E220" s="5"/>
      <c r="F220" s="5"/>
      <c r="G220" s="6"/>
      <c r="H220" s="6"/>
      <c r="I220" s="7"/>
      <c r="J220" s="7"/>
      <c r="K220" s="7"/>
    </row>
    <row r="221" customHeight="1" spans="1:11">
      <c r="A221" s="6"/>
      <c r="B221" s="5"/>
      <c r="C221" s="5"/>
      <c r="D221" s="5"/>
      <c r="E221" s="5"/>
      <c r="F221" s="5"/>
      <c r="G221" s="6"/>
      <c r="H221" s="6"/>
      <c r="I221" s="7"/>
      <c r="J221" s="7"/>
      <c r="K221" s="7"/>
    </row>
    <row r="222" customHeight="1" spans="1:11">
      <c r="A222" s="6"/>
      <c r="B222" s="5"/>
      <c r="C222" s="5"/>
      <c r="D222" s="5"/>
      <c r="E222" s="5"/>
      <c r="F222" s="5"/>
      <c r="G222" s="6"/>
      <c r="H222" s="6"/>
      <c r="I222" s="7"/>
      <c r="J222" s="7"/>
      <c r="K222" s="7"/>
    </row>
    <row r="223" ht="7.5" customHeight="1" spans="1:11">
      <c r="A223" s="3"/>
      <c r="B223" s="3"/>
      <c r="C223" s="3"/>
      <c r="D223" s="3"/>
      <c r="E223" s="3"/>
      <c r="F223" s="3"/>
      <c r="G223" s="3"/>
      <c r="H223" s="3"/>
      <c r="I223" s="3"/>
      <c r="J223" s="3"/>
      <c r="K223" s="3"/>
    </row>
    <row r="224" ht="26.25" customHeight="1" spans="1:11">
      <c r="A224" s="2" t="s">
        <v>367</v>
      </c>
      <c r="B224" s="2"/>
      <c r="C224" s="2"/>
      <c r="D224" s="2"/>
      <c r="E224" s="2"/>
      <c r="F224" s="2"/>
      <c r="G224" s="2"/>
      <c r="H224" s="2"/>
      <c r="I224" s="2"/>
      <c r="J224" s="2"/>
      <c r="K224" s="2"/>
    </row>
    <row r="225" customHeight="1" spans="1:11">
      <c r="A225" s="11" t="s">
        <v>404</v>
      </c>
      <c r="B225" s="11"/>
      <c r="C225" s="11"/>
      <c r="D225" s="11"/>
      <c r="E225" s="11"/>
      <c r="F225" s="11"/>
      <c r="G225" s="11"/>
      <c r="H225" s="11"/>
      <c r="I225" s="11"/>
      <c r="J225" s="11"/>
      <c r="K225" s="11"/>
    </row>
    <row r="226" customHeight="1" spans="1:11">
      <c r="A226" s="8" t="s">
        <v>369</v>
      </c>
      <c r="B226" s="3" t="s">
        <v>309</v>
      </c>
      <c r="C226" s="3"/>
      <c r="D226" s="3"/>
      <c r="E226" s="3"/>
      <c r="F226" s="3"/>
      <c r="G226" s="3"/>
      <c r="H226" s="12" t="s">
        <v>393</v>
      </c>
      <c r="I226" s="12"/>
      <c r="J226" s="12"/>
      <c r="K226" s="12"/>
    </row>
    <row r="227" ht="66" customHeight="1" spans="1:11">
      <c r="A227" s="13" t="s">
        <v>371</v>
      </c>
      <c r="B227" s="14" t="s">
        <v>405</v>
      </c>
      <c r="C227" s="14"/>
      <c r="D227" s="14"/>
      <c r="E227" s="14"/>
      <c r="F227" s="14"/>
      <c r="G227" s="14"/>
      <c r="H227" s="14"/>
      <c r="I227" s="14"/>
      <c r="J227" s="14"/>
      <c r="K227" s="14"/>
    </row>
    <row r="228" customHeight="1" spans="1:11">
      <c r="A228" s="6" t="s">
        <v>48</v>
      </c>
      <c r="B228" s="6" t="s">
        <v>254</v>
      </c>
      <c r="C228" s="6" t="s">
        <v>255</v>
      </c>
      <c r="D228" s="6"/>
      <c r="E228" s="6"/>
      <c r="F228" s="6"/>
      <c r="G228" s="6" t="s">
        <v>282</v>
      </c>
      <c r="H228" s="6"/>
      <c r="I228" s="6" t="s">
        <v>373</v>
      </c>
      <c r="J228" s="6" t="s">
        <v>374</v>
      </c>
      <c r="K228" s="6" t="s">
        <v>375</v>
      </c>
    </row>
    <row r="229" customHeight="1" spans="1:11">
      <c r="A229" s="6" t="s">
        <v>51</v>
      </c>
      <c r="B229" s="5" t="s">
        <v>376</v>
      </c>
      <c r="C229" s="5"/>
      <c r="D229" s="5"/>
      <c r="E229" s="5"/>
      <c r="F229" s="5"/>
      <c r="G229" s="6" t="s">
        <v>377</v>
      </c>
      <c r="H229" s="6"/>
      <c r="I229" s="7"/>
      <c r="J229" s="7"/>
      <c r="K229" s="15">
        <f>K230+K235+K242+K250+K251</f>
        <v>16932.6</v>
      </c>
    </row>
    <row r="230" customHeight="1" spans="1:11">
      <c r="A230" s="6" t="s">
        <v>72</v>
      </c>
      <c r="B230" s="5" t="s">
        <v>199</v>
      </c>
      <c r="C230" s="5"/>
      <c r="D230" s="5"/>
      <c r="E230" s="5"/>
      <c r="F230" s="5"/>
      <c r="G230" s="6" t="s">
        <v>377</v>
      </c>
      <c r="H230" s="6"/>
      <c r="I230" s="7"/>
      <c r="J230" s="7"/>
      <c r="K230" s="15">
        <f>SUM(K231:K234)</f>
        <v>2587.76</v>
      </c>
    </row>
    <row r="231" customHeight="1" spans="1:11">
      <c r="A231" s="6"/>
      <c r="B231" s="5" t="s">
        <v>324</v>
      </c>
      <c r="C231" s="5"/>
      <c r="D231" s="5"/>
      <c r="E231" s="5"/>
      <c r="F231" s="5"/>
      <c r="G231" s="6" t="s">
        <v>378</v>
      </c>
      <c r="H231" s="6"/>
      <c r="I231" s="7">
        <v>449</v>
      </c>
      <c r="J231" s="15">
        <v>3.46</v>
      </c>
      <c r="K231" s="15">
        <f t="shared" ref="K231:K234" si="16">ROUND(I231*J231,2)</f>
        <v>1553.54</v>
      </c>
    </row>
    <row r="232" customHeight="1" spans="1:11">
      <c r="A232" s="6"/>
      <c r="B232" s="5" t="s">
        <v>406</v>
      </c>
      <c r="C232" s="5"/>
      <c r="D232" s="5"/>
      <c r="E232" s="5"/>
      <c r="F232" s="5"/>
      <c r="G232" s="6" t="s">
        <v>378</v>
      </c>
      <c r="H232" s="6"/>
      <c r="I232" s="7">
        <f>59.8*1.03</f>
        <v>61.594</v>
      </c>
      <c r="J232" s="15">
        <v>3.46</v>
      </c>
      <c r="K232" s="15">
        <f t="shared" si="16"/>
        <v>213.12</v>
      </c>
    </row>
    <row r="233" customHeight="1" spans="1:11">
      <c r="A233" s="6"/>
      <c r="B233" s="5" t="s">
        <v>324</v>
      </c>
      <c r="C233" s="5"/>
      <c r="D233" s="5"/>
      <c r="E233" s="5"/>
      <c r="F233" s="5"/>
      <c r="G233" s="6" t="s">
        <v>378</v>
      </c>
      <c r="H233" s="6"/>
      <c r="I233" s="7">
        <f>242*0.824</f>
        <v>199.408</v>
      </c>
      <c r="J233" s="15">
        <v>3.46</v>
      </c>
      <c r="K233" s="15">
        <f t="shared" si="16"/>
        <v>689.95</v>
      </c>
    </row>
    <row r="234" customHeight="1" spans="1:11">
      <c r="A234" s="6"/>
      <c r="B234" s="5" t="s">
        <v>324</v>
      </c>
      <c r="C234" s="5"/>
      <c r="D234" s="5"/>
      <c r="E234" s="5"/>
      <c r="F234" s="5"/>
      <c r="G234" s="6" t="s">
        <v>378</v>
      </c>
      <c r="H234" s="6"/>
      <c r="I234" s="7">
        <f>46*0.824</f>
        <v>37.904</v>
      </c>
      <c r="J234" s="15">
        <v>3.46</v>
      </c>
      <c r="K234" s="15">
        <f t="shared" si="16"/>
        <v>131.15</v>
      </c>
    </row>
    <row r="235" customHeight="1" spans="1:11">
      <c r="A235" s="6" t="s">
        <v>131</v>
      </c>
      <c r="B235" s="5" t="s">
        <v>200</v>
      </c>
      <c r="C235" s="5"/>
      <c r="D235" s="5"/>
      <c r="E235" s="5"/>
      <c r="F235" s="5"/>
      <c r="G235" s="6" t="s">
        <v>377</v>
      </c>
      <c r="H235" s="6"/>
      <c r="I235" s="7"/>
      <c r="J235" s="7"/>
      <c r="K235" s="15">
        <f>SUM(K236:K241)</f>
        <v>11101.62</v>
      </c>
    </row>
    <row r="236" customHeight="1" spans="1:11">
      <c r="A236" s="6"/>
      <c r="B236" s="5" t="s">
        <v>259</v>
      </c>
      <c r="C236" s="5"/>
      <c r="D236" s="5"/>
      <c r="E236" s="5"/>
      <c r="F236" s="5"/>
      <c r="G236" s="6" t="s">
        <v>82</v>
      </c>
      <c r="H236" s="6"/>
      <c r="I236" s="7">
        <v>90</v>
      </c>
      <c r="J236" s="15">
        <f>电、风、水、砂石基础单价汇总表!K8</f>
        <v>3.84</v>
      </c>
      <c r="K236" s="15">
        <f t="shared" ref="K236:K238" si="17">ROUND(I236*J236,2)</f>
        <v>345.6</v>
      </c>
    </row>
    <row r="237" customHeight="1" spans="1:11">
      <c r="A237" s="6"/>
      <c r="B237" s="5" t="s">
        <v>303</v>
      </c>
      <c r="C237" s="5"/>
      <c r="D237" s="5"/>
      <c r="E237" s="5"/>
      <c r="F237" s="5"/>
      <c r="G237" s="6" t="s">
        <v>82</v>
      </c>
      <c r="H237" s="6"/>
      <c r="I237" s="7">
        <f>103*0.334</f>
        <v>34.402</v>
      </c>
      <c r="J237" s="15">
        <v>30</v>
      </c>
      <c r="K237" s="15">
        <f t="shared" si="17"/>
        <v>1032.06</v>
      </c>
    </row>
    <row r="238" ht="27.75" customHeight="1" spans="1:11">
      <c r="A238" s="6"/>
      <c r="B238" s="5" t="s">
        <v>407</v>
      </c>
      <c r="C238" s="5" t="s">
        <v>408</v>
      </c>
      <c r="D238" s="5"/>
      <c r="E238" s="5"/>
      <c r="F238" s="5"/>
      <c r="G238" s="6" t="s">
        <v>82</v>
      </c>
      <c r="H238" s="6"/>
      <c r="I238" s="7">
        <f>103*0.8</f>
        <v>82.4</v>
      </c>
      <c r="J238" s="15">
        <f>ROUND(电、风、水、砂石基础单价汇总表!K8*0.165,2)+ROUND(250*0.001*287.1,2)+ROUND(30*0.8586,2)+ROUND(30*0.561,2)</f>
        <v>115</v>
      </c>
      <c r="K238" s="15">
        <f t="shared" si="17"/>
        <v>9476</v>
      </c>
    </row>
    <row r="239" customHeight="1" spans="1:11">
      <c r="A239" s="6"/>
      <c r="B239" s="5" t="s">
        <v>403</v>
      </c>
      <c r="C239" s="5"/>
      <c r="D239" s="5"/>
      <c r="E239" s="5"/>
      <c r="F239" s="5"/>
      <c r="G239" s="6" t="s">
        <v>380</v>
      </c>
      <c r="H239" s="6"/>
      <c r="I239" s="7">
        <v>2</v>
      </c>
      <c r="J239" s="15">
        <f>K236+K237+K238</f>
        <v>10853.66</v>
      </c>
      <c r="K239" s="15">
        <f t="shared" ref="K239:K241" si="18">ROUND(I239*J239/100,2)</f>
        <v>217.07</v>
      </c>
    </row>
    <row r="240" customHeight="1" spans="1:11">
      <c r="A240" s="6"/>
      <c r="B240" s="5" t="s">
        <v>379</v>
      </c>
      <c r="C240" s="5"/>
      <c r="D240" s="5"/>
      <c r="E240" s="5"/>
      <c r="F240" s="5"/>
      <c r="G240" s="6" t="s">
        <v>380</v>
      </c>
      <c r="H240" s="6"/>
      <c r="I240" s="7">
        <v>2</v>
      </c>
      <c r="J240" s="15">
        <f>K233+K247+K248</f>
        <v>1037.63</v>
      </c>
      <c r="K240" s="15">
        <f t="shared" si="18"/>
        <v>20.75</v>
      </c>
    </row>
    <row r="241" customHeight="1" spans="1:11">
      <c r="A241" s="6"/>
      <c r="B241" s="5" t="s">
        <v>379</v>
      </c>
      <c r="C241" s="5"/>
      <c r="D241" s="5"/>
      <c r="E241" s="5"/>
      <c r="F241" s="5"/>
      <c r="G241" s="6" t="s">
        <v>380</v>
      </c>
      <c r="H241" s="6"/>
      <c r="I241" s="7">
        <v>6</v>
      </c>
      <c r="J241" s="15">
        <f>K234+K249</f>
        <v>168.99</v>
      </c>
      <c r="K241" s="15">
        <f t="shared" si="18"/>
        <v>10.14</v>
      </c>
    </row>
    <row r="242" customHeight="1" spans="1:11">
      <c r="A242" s="6" t="s">
        <v>381</v>
      </c>
      <c r="B242" s="5" t="s">
        <v>382</v>
      </c>
      <c r="C242" s="5"/>
      <c r="D242" s="5"/>
      <c r="E242" s="5"/>
      <c r="F242" s="5"/>
      <c r="G242" s="6" t="s">
        <v>377</v>
      </c>
      <c r="H242" s="6"/>
      <c r="I242" s="7"/>
      <c r="J242" s="7"/>
      <c r="K242" s="15">
        <f>SUM(K243:K249)</f>
        <v>1634.24</v>
      </c>
    </row>
    <row r="243" customHeight="1" spans="1:11">
      <c r="A243" s="6"/>
      <c r="B243" s="5" t="s">
        <v>340</v>
      </c>
      <c r="C243" s="5" t="s">
        <v>341</v>
      </c>
      <c r="D243" s="5"/>
      <c r="E243" s="5"/>
      <c r="F243" s="5"/>
      <c r="G243" s="6" t="s">
        <v>383</v>
      </c>
      <c r="H243" s="6"/>
      <c r="I243" s="7">
        <v>6.83</v>
      </c>
      <c r="J243" s="15">
        <f>施工机械台时费汇总表!P17</f>
        <v>75.79</v>
      </c>
      <c r="K243" s="15">
        <f t="shared" ref="K243:K245" si="19">ROUND(I243*J243,2)</f>
        <v>517.65</v>
      </c>
    </row>
    <row r="244" customHeight="1" spans="1:11">
      <c r="A244" s="6"/>
      <c r="B244" s="5" t="s">
        <v>342</v>
      </c>
      <c r="C244" s="5" t="s">
        <v>343</v>
      </c>
      <c r="D244" s="5"/>
      <c r="E244" s="5"/>
      <c r="F244" s="5"/>
      <c r="G244" s="6" t="s">
        <v>383</v>
      </c>
      <c r="H244" s="6"/>
      <c r="I244" s="7">
        <v>32.4</v>
      </c>
      <c r="J244" s="15">
        <f>施工机械台时费汇总表!P18</f>
        <v>1.98</v>
      </c>
      <c r="K244" s="15">
        <f t="shared" si="19"/>
        <v>64.15</v>
      </c>
    </row>
    <row r="245" customHeight="1" spans="1:11">
      <c r="A245" s="6"/>
      <c r="B245" s="5" t="s">
        <v>344</v>
      </c>
      <c r="C245" s="5" t="s">
        <v>345</v>
      </c>
      <c r="D245" s="5"/>
      <c r="E245" s="5"/>
      <c r="F245" s="5"/>
      <c r="G245" s="6" t="s">
        <v>383</v>
      </c>
      <c r="H245" s="6"/>
      <c r="I245" s="7">
        <v>11.2</v>
      </c>
      <c r="J245" s="15">
        <f>施工机械台时费汇总表!P19</f>
        <v>46.72</v>
      </c>
      <c r="K245" s="15">
        <f t="shared" si="19"/>
        <v>523.26</v>
      </c>
    </row>
    <row r="246" customHeight="1" spans="1:11">
      <c r="A246" s="6"/>
      <c r="B246" s="5" t="s">
        <v>409</v>
      </c>
      <c r="C246" s="5"/>
      <c r="D246" s="5"/>
      <c r="E246" s="5"/>
      <c r="F246" s="5"/>
      <c r="G246" s="6" t="s">
        <v>380</v>
      </c>
      <c r="H246" s="6"/>
      <c r="I246" s="7">
        <v>13</v>
      </c>
      <c r="J246" s="15">
        <f>K243+K244+K245</f>
        <v>1105.06</v>
      </c>
      <c r="K246" s="15">
        <f>ROUND(I246*J246/100,2)</f>
        <v>143.66</v>
      </c>
    </row>
    <row r="247" customHeight="1" spans="1:11">
      <c r="A247" s="6"/>
      <c r="B247" s="5" t="s">
        <v>338</v>
      </c>
      <c r="C247" s="5" t="s">
        <v>339</v>
      </c>
      <c r="D247" s="5"/>
      <c r="E247" s="5"/>
      <c r="F247" s="5"/>
      <c r="G247" s="6" t="s">
        <v>383</v>
      </c>
      <c r="H247" s="6"/>
      <c r="I247" s="7">
        <f>18*0.824</f>
        <v>14.832</v>
      </c>
      <c r="J247" s="15">
        <f>施工机械台时费汇总表!P16</f>
        <v>19.66</v>
      </c>
      <c r="K247" s="15">
        <f t="shared" ref="K247:K254" si="20">ROUND(I247*J247,2)</f>
        <v>291.6</v>
      </c>
    </row>
    <row r="248" customHeight="1" spans="1:11">
      <c r="A248" s="6"/>
      <c r="B248" s="5" t="s">
        <v>352</v>
      </c>
      <c r="C248" s="5"/>
      <c r="D248" s="5"/>
      <c r="E248" s="5"/>
      <c r="F248" s="5"/>
      <c r="G248" s="6" t="s">
        <v>383</v>
      </c>
      <c r="H248" s="6"/>
      <c r="I248" s="7">
        <f>83*0.824</f>
        <v>68.392</v>
      </c>
      <c r="J248" s="15">
        <f>施工机械台时费汇总表!P22</f>
        <v>0.82</v>
      </c>
      <c r="K248" s="15">
        <f t="shared" si="20"/>
        <v>56.08</v>
      </c>
    </row>
    <row r="249" customHeight="1" spans="1:11">
      <c r="A249" s="6"/>
      <c r="B249" s="5" t="s">
        <v>352</v>
      </c>
      <c r="C249" s="5"/>
      <c r="D249" s="5"/>
      <c r="E249" s="5"/>
      <c r="F249" s="5"/>
      <c r="G249" s="6" t="s">
        <v>383</v>
      </c>
      <c r="H249" s="6"/>
      <c r="I249" s="7">
        <f>56*0.824</f>
        <v>46.144</v>
      </c>
      <c r="J249" s="15">
        <f>施工机械台时费汇总表!P22</f>
        <v>0.82</v>
      </c>
      <c r="K249" s="15">
        <f t="shared" si="20"/>
        <v>37.84</v>
      </c>
    </row>
    <row r="250" customHeight="1" spans="1:11">
      <c r="A250" s="6" t="s">
        <v>384</v>
      </c>
      <c r="B250" s="5" t="s">
        <v>385</v>
      </c>
      <c r="C250" s="5"/>
      <c r="D250" s="5"/>
      <c r="E250" s="5"/>
      <c r="F250" s="5"/>
      <c r="G250" s="6" t="s">
        <v>377</v>
      </c>
      <c r="H250" s="6"/>
      <c r="I250" s="7" t="str">
        <f>'工程单价费(税)率汇总表'!D11&amp;"%"</f>
        <v>4.5%</v>
      </c>
      <c r="J250" s="15">
        <f>K230+K235+K242</f>
        <v>15323.62</v>
      </c>
      <c r="K250" s="15">
        <f t="shared" si="20"/>
        <v>689.56</v>
      </c>
    </row>
    <row r="251" customHeight="1" spans="1:11">
      <c r="A251" s="6" t="s">
        <v>386</v>
      </c>
      <c r="B251" s="5" t="s">
        <v>387</v>
      </c>
      <c r="C251" s="5"/>
      <c r="D251" s="5"/>
      <c r="E251" s="5"/>
      <c r="F251" s="5"/>
      <c r="G251" s="6" t="s">
        <v>377</v>
      </c>
      <c r="H251" s="6"/>
      <c r="I251" s="7" t="str">
        <f>'工程单价费(税)率汇总表'!E11&amp;"%"</f>
        <v>6%</v>
      </c>
      <c r="J251" s="15">
        <f>K230+K235+K242</f>
        <v>15323.62</v>
      </c>
      <c r="K251" s="15">
        <f t="shared" si="20"/>
        <v>919.42</v>
      </c>
    </row>
    <row r="252" customHeight="1" spans="1:11">
      <c r="A252" s="6" t="s">
        <v>53</v>
      </c>
      <c r="B252" s="5" t="s">
        <v>388</v>
      </c>
      <c r="C252" s="5"/>
      <c r="D252" s="5"/>
      <c r="E252" s="5"/>
      <c r="F252" s="5"/>
      <c r="G252" s="6" t="s">
        <v>377</v>
      </c>
      <c r="H252" s="6"/>
      <c r="I252" s="7" t="str">
        <f>'工程单价费(税)率汇总表'!F11&amp;"%"</f>
        <v>3.7%</v>
      </c>
      <c r="J252" s="15">
        <f>K229</f>
        <v>16932.6</v>
      </c>
      <c r="K252" s="15">
        <f t="shared" si="20"/>
        <v>626.51</v>
      </c>
    </row>
    <row r="253" customHeight="1" spans="1:11">
      <c r="A253" s="6" t="s">
        <v>55</v>
      </c>
      <c r="B253" s="5" t="s">
        <v>216</v>
      </c>
      <c r="C253" s="5"/>
      <c r="D253" s="5"/>
      <c r="E253" s="5"/>
      <c r="F253" s="5"/>
      <c r="G253" s="6" t="s">
        <v>377</v>
      </c>
      <c r="H253" s="6"/>
      <c r="I253" s="7" t="str">
        <f>'工程单价费(税)率汇总表'!G11&amp;"%"</f>
        <v>32.8%</v>
      </c>
      <c r="J253" s="15">
        <f>K230+ROUND(I243*2.4*3.46,2)+ROUND(I247*1.3*3.46,2)</f>
        <v>2711.19</v>
      </c>
      <c r="K253" s="15">
        <f t="shared" si="20"/>
        <v>889.27</v>
      </c>
    </row>
    <row r="254" customHeight="1" spans="1:11">
      <c r="A254" s="6" t="s">
        <v>57</v>
      </c>
      <c r="B254" s="5" t="s">
        <v>389</v>
      </c>
      <c r="C254" s="5"/>
      <c r="D254" s="5"/>
      <c r="E254" s="5"/>
      <c r="F254" s="5"/>
      <c r="G254" s="6" t="s">
        <v>377</v>
      </c>
      <c r="H254" s="6"/>
      <c r="I254" s="7" t="str">
        <f>'工程单价费(税)率汇总表'!H11&amp;"%"</f>
        <v>7%</v>
      </c>
      <c r="J254" s="15">
        <f>K229+K252+K253</f>
        <v>18448.38</v>
      </c>
      <c r="K254" s="15">
        <f t="shared" si="20"/>
        <v>1291.39</v>
      </c>
    </row>
    <row r="255" customHeight="1" spans="1:11">
      <c r="A255" s="6" t="s">
        <v>59</v>
      </c>
      <c r="B255" s="5" t="s">
        <v>207</v>
      </c>
      <c r="C255" s="5"/>
      <c r="D255" s="5"/>
      <c r="E255" s="5"/>
      <c r="F255" s="5"/>
      <c r="G255" s="6" t="s">
        <v>377</v>
      </c>
      <c r="H255" s="6"/>
      <c r="I255" s="7"/>
      <c r="J255" s="7"/>
      <c r="K255" s="15">
        <f>SUM(K256:K268)</f>
        <v>15239.1</v>
      </c>
    </row>
    <row r="256" customHeight="1" spans="1:11">
      <c r="A256" s="6"/>
      <c r="B256" s="5" t="s">
        <v>324</v>
      </c>
      <c r="C256" s="5"/>
      <c r="D256" s="5"/>
      <c r="E256" s="5"/>
      <c r="F256" s="5"/>
      <c r="G256" s="6" t="s">
        <v>378</v>
      </c>
      <c r="H256" s="6"/>
      <c r="I256" s="7">
        <f>I231+I233+I234</f>
        <v>686.312</v>
      </c>
      <c r="J256" s="15">
        <v>4</v>
      </c>
      <c r="K256" s="15">
        <f>ROUND(I256*J256,2)</f>
        <v>2745.25</v>
      </c>
    </row>
    <row r="257" ht="7.5" customHeight="1" spans="1:11">
      <c r="A257" s="3"/>
      <c r="B257" s="3"/>
      <c r="C257" s="3"/>
      <c r="D257" s="3"/>
      <c r="E257" s="3"/>
      <c r="F257" s="3"/>
      <c r="G257" s="3"/>
      <c r="H257" s="3"/>
      <c r="I257" s="3"/>
      <c r="J257" s="3"/>
      <c r="K257" s="3"/>
    </row>
    <row r="258" ht="26.25" customHeight="1" spans="1:11">
      <c r="A258" s="2" t="s">
        <v>367</v>
      </c>
      <c r="B258" s="2"/>
      <c r="C258" s="2"/>
      <c r="D258" s="2"/>
      <c r="E258" s="2"/>
      <c r="F258" s="2"/>
      <c r="G258" s="2"/>
      <c r="H258" s="2"/>
      <c r="I258" s="2"/>
      <c r="J258" s="2"/>
      <c r="K258" s="2"/>
    </row>
    <row r="259" customHeight="1" spans="1:11">
      <c r="A259" s="11" t="s">
        <v>404</v>
      </c>
      <c r="B259" s="11"/>
      <c r="C259" s="11"/>
      <c r="D259" s="11"/>
      <c r="E259" s="11"/>
      <c r="F259" s="11"/>
      <c r="G259" s="11"/>
      <c r="H259" s="11"/>
      <c r="I259" s="11"/>
      <c r="J259" s="11"/>
      <c r="K259" s="11"/>
    </row>
    <row r="260" customHeight="1" spans="1:11">
      <c r="A260" s="8" t="s">
        <v>369</v>
      </c>
      <c r="B260" s="3" t="s">
        <v>309</v>
      </c>
      <c r="C260" s="3"/>
      <c r="D260" s="3"/>
      <c r="E260" s="3"/>
      <c r="F260" s="3"/>
      <c r="G260" s="3"/>
      <c r="H260" s="12" t="s">
        <v>393</v>
      </c>
      <c r="I260" s="12"/>
      <c r="J260" s="12"/>
      <c r="K260" s="12"/>
    </row>
    <row r="261" ht="66" customHeight="1" spans="1:11">
      <c r="A261" s="13" t="s">
        <v>371</v>
      </c>
      <c r="B261" s="14" t="s">
        <v>405</v>
      </c>
      <c r="C261" s="14"/>
      <c r="D261" s="14"/>
      <c r="E261" s="14"/>
      <c r="F261" s="14"/>
      <c r="G261" s="14"/>
      <c r="H261" s="14"/>
      <c r="I261" s="14"/>
      <c r="J261" s="14"/>
      <c r="K261" s="14"/>
    </row>
    <row r="262" customHeight="1" spans="1:11">
      <c r="A262" s="6" t="s">
        <v>48</v>
      </c>
      <c r="B262" s="6" t="s">
        <v>254</v>
      </c>
      <c r="C262" s="6" t="s">
        <v>255</v>
      </c>
      <c r="D262" s="6"/>
      <c r="E262" s="6"/>
      <c r="F262" s="6"/>
      <c r="G262" s="6" t="s">
        <v>282</v>
      </c>
      <c r="H262" s="6"/>
      <c r="I262" s="6" t="s">
        <v>373</v>
      </c>
      <c r="J262" s="6" t="s">
        <v>374</v>
      </c>
      <c r="K262" s="6" t="s">
        <v>375</v>
      </c>
    </row>
    <row r="263" customHeight="1" spans="1:11">
      <c r="A263" s="6"/>
      <c r="B263" s="5" t="s">
        <v>390</v>
      </c>
      <c r="C263" s="5"/>
      <c r="D263" s="5"/>
      <c r="E263" s="5"/>
      <c r="F263" s="5"/>
      <c r="G263" s="6" t="s">
        <v>378</v>
      </c>
      <c r="H263" s="6"/>
      <c r="I263" s="7">
        <f>I243*2.4+I247*1.3</f>
        <v>35.6736</v>
      </c>
      <c r="J263" s="15">
        <v>4</v>
      </c>
      <c r="K263" s="15">
        <f t="shared" ref="K263:K270" si="21">ROUND(I263*J263,2)</f>
        <v>142.69</v>
      </c>
    </row>
    <row r="264" customHeight="1" spans="1:11">
      <c r="A264" s="6"/>
      <c r="B264" s="5" t="s">
        <v>406</v>
      </c>
      <c r="C264" s="5"/>
      <c r="D264" s="5"/>
      <c r="E264" s="5"/>
      <c r="F264" s="5"/>
      <c r="G264" s="6" t="s">
        <v>378</v>
      </c>
      <c r="H264" s="6"/>
      <c r="I264" s="7">
        <f>I232</f>
        <v>61.594</v>
      </c>
      <c r="J264" s="15">
        <v>4</v>
      </c>
      <c r="K264" s="15">
        <f t="shared" si="21"/>
        <v>246.38</v>
      </c>
    </row>
    <row r="265" customHeight="1" spans="1:11">
      <c r="A265" s="6"/>
      <c r="B265" s="5" t="s">
        <v>287</v>
      </c>
      <c r="C265" s="5" t="s">
        <v>288</v>
      </c>
      <c r="D265" s="5"/>
      <c r="E265" s="5"/>
      <c r="F265" s="5"/>
      <c r="G265" s="6" t="s">
        <v>289</v>
      </c>
      <c r="H265" s="6"/>
      <c r="I265" s="7">
        <f>I238*287.1*0.001</f>
        <v>23.65704</v>
      </c>
      <c r="J265" s="15">
        <v>124.68</v>
      </c>
      <c r="K265" s="15">
        <f t="shared" si="21"/>
        <v>2949.56</v>
      </c>
    </row>
    <row r="266" customHeight="1" spans="1:11">
      <c r="A266" s="6"/>
      <c r="B266" s="5" t="s">
        <v>291</v>
      </c>
      <c r="C266" s="5"/>
      <c r="D266" s="5"/>
      <c r="E266" s="5"/>
      <c r="F266" s="5"/>
      <c r="G266" s="6" t="s">
        <v>82</v>
      </c>
      <c r="H266" s="6"/>
      <c r="I266" s="7">
        <f>I238*0.8586</f>
        <v>70.74864</v>
      </c>
      <c r="J266" s="15">
        <v>59.5</v>
      </c>
      <c r="K266" s="15">
        <f t="shared" si="21"/>
        <v>4209.54</v>
      </c>
    </row>
    <row r="267" customHeight="1" spans="1:11">
      <c r="A267" s="6"/>
      <c r="B267" s="5" t="s">
        <v>303</v>
      </c>
      <c r="C267" s="5"/>
      <c r="D267" s="5"/>
      <c r="E267" s="5"/>
      <c r="F267" s="5"/>
      <c r="G267" s="6" t="s">
        <v>82</v>
      </c>
      <c r="H267" s="6"/>
      <c r="I267" s="7">
        <f>I237</f>
        <v>34.402</v>
      </c>
      <c r="J267" s="15">
        <v>49.5</v>
      </c>
      <c r="K267" s="15">
        <f t="shared" si="21"/>
        <v>1702.9</v>
      </c>
    </row>
    <row r="268" customHeight="1" spans="1:11">
      <c r="A268" s="6"/>
      <c r="B268" s="5" t="s">
        <v>307</v>
      </c>
      <c r="C268" s="5"/>
      <c r="D268" s="5"/>
      <c r="E268" s="5"/>
      <c r="F268" s="5"/>
      <c r="G268" s="6" t="s">
        <v>82</v>
      </c>
      <c r="H268" s="6"/>
      <c r="I268" s="7">
        <f>I238*0.561</f>
        <v>46.2264</v>
      </c>
      <c r="J268" s="15">
        <v>70.15</v>
      </c>
      <c r="K268" s="15">
        <f t="shared" si="21"/>
        <v>3242.78</v>
      </c>
    </row>
    <row r="269" customHeight="1" spans="1:11">
      <c r="A269" s="6" t="s">
        <v>227</v>
      </c>
      <c r="B269" s="5" t="s">
        <v>208</v>
      </c>
      <c r="C269" s="5"/>
      <c r="D269" s="5"/>
      <c r="E269" s="5"/>
      <c r="F269" s="5"/>
      <c r="G269" s="6" t="s">
        <v>377</v>
      </c>
      <c r="H269" s="6"/>
      <c r="I269" s="7" t="str">
        <f>'工程单价费(税)率汇总表'!I11&amp;"%"</f>
        <v>0%</v>
      </c>
      <c r="J269" s="15">
        <f>K229+K252+K253+K254+K255</f>
        <v>34978.87</v>
      </c>
      <c r="K269" s="15">
        <f t="shared" si="21"/>
        <v>0</v>
      </c>
    </row>
    <row r="270" customHeight="1" spans="1:11">
      <c r="A270" s="6" t="s">
        <v>223</v>
      </c>
      <c r="B270" s="5" t="s">
        <v>209</v>
      </c>
      <c r="C270" s="5"/>
      <c r="D270" s="5"/>
      <c r="E270" s="5"/>
      <c r="F270" s="5"/>
      <c r="G270" s="6" t="s">
        <v>377</v>
      </c>
      <c r="H270" s="6"/>
      <c r="I270" s="7" t="str">
        <f>'工程单价费(税)率汇总表'!J11&amp;"%"</f>
        <v>9%</v>
      </c>
      <c r="J270" s="15">
        <f>K229+K252+K253+K254+K255+K269</f>
        <v>34978.87</v>
      </c>
      <c r="K270" s="15">
        <f t="shared" si="21"/>
        <v>3148.1</v>
      </c>
    </row>
    <row r="271" customHeight="1" spans="1:11">
      <c r="A271" s="6"/>
      <c r="B271" s="5" t="s">
        <v>61</v>
      </c>
      <c r="C271" s="5"/>
      <c r="D271" s="5"/>
      <c r="E271" s="5"/>
      <c r="F271" s="5"/>
      <c r="G271" s="6" t="s">
        <v>377</v>
      </c>
      <c r="H271" s="6"/>
      <c r="I271" s="7"/>
      <c r="J271" s="7"/>
      <c r="K271" s="15">
        <f>K229+K252+K253+K254+K255+K269+K270</f>
        <v>38126.97</v>
      </c>
    </row>
    <row r="272" customHeight="1" spans="1:11">
      <c r="A272" s="6"/>
      <c r="B272" s="5" t="s">
        <v>391</v>
      </c>
      <c r="C272" s="5"/>
      <c r="D272" s="5"/>
      <c r="E272" s="5"/>
      <c r="F272" s="5"/>
      <c r="G272" s="6" t="s">
        <v>377</v>
      </c>
      <c r="H272" s="6"/>
      <c r="I272" s="7"/>
      <c r="J272" s="7"/>
      <c r="K272" s="15">
        <f>ROUND(K271/100,2)</f>
        <v>381.27</v>
      </c>
    </row>
    <row r="273" customHeight="1" spans="1:11">
      <c r="A273" s="6"/>
      <c r="B273" s="5"/>
      <c r="C273" s="5"/>
      <c r="D273" s="5"/>
      <c r="E273" s="5"/>
      <c r="F273" s="5"/>
      <c r="G273" s="6"/>
      <c r="H273" s="6"/>
      <c r="I273" s="7"/>
      <c r="J273" s="7"/>
      <c r="K273" s="7"/>
    </row>
    <row r="274" customHeight="1" spans="1:11">
      <c r="A274" s="6"/>
      <c r="B274" s="5"/>
      <c r="C274" s="5"/>
      <c r="D274" s="5"/>
      <c r="E274" s="5"/>
      <c r="F274" s="5"/>
      <c r="G274" s="6"/>
      <c r="H274" s="6"/>
      <c r="I274" s="7"/>
      <c r="J274" s="7"/>
      <c r="K274" s="7"/>
    </row>
    <row r="275" customHeight="1" spans="1:11">
      <c r="A275" s="6"/>
      <c r="B275" s="5"/>
      <c r="C275" s="5"/>
      <c r="D275" s="5"/>
      <c r="E275" s="5"/>
      <c r="F275" s="5"/>
      <c r="G275" s="6"/>
      <c r="H275" s="6"/>
      <c r="I275" s="7"/>
      <c r="J275" s="7"/>
      <c r="K275" s="7"/>
    </row>
    <row r="276" customHeight="1" spans="1:11">
      <c r="A276" s="6"/>
      <c r="B276" s="5"/>
      <c r="C276" s="5"/>
      <c r="D276" s="5"/>
      <c r="E276" s="5"/>
      <c r="F276" s="5"/>
      <c r="G276" s="6"/>
      <c r="H276" s="6"/>
      <c r="I276" s="7"/>
      <c r="J276" s="7"/>
      <c r="K276" s="7"/>
    </row>
    <row r="277" customHeight="1" spans="1:11">
      <c r="A277" s="6"/>
      <c r="B277" s="5"/>
      <c r="C277" s="5"/>
      <c r="D277" s="5"/>
      <c r="E277" s="5"/>
      <c r="F277" s="5"/>
      <c r="G277" s="6"/>
      <c r="H277" s="6"/>
      <c r="I277" s="7"/>
      <c r="J277" s="7"/>
      <c r="K277" s="7"/>
    </row>
    <row r="278" customHeight="1" spans="1:11">
      <c r="A278" s="6"/>
      <c r="B278" s="5"/>
      <c r="C278" s="5"/>
      <c r="D278" s="5"/>
      <c r="E278" s="5"/>
      <c r="F278" s="5"/>
      <c r="G278" s="6"/>
      <c r="H278" s="6"/>
      <c r="I278" s="7"/>
      <c r="J278" s="7"/>
      <c r="K278" s="7"/>
    </row>
    <row r="279" customHeight="1" spans="1:11">
      <c r="A279" s="6"/>
      <c r="B279" s="5"/>
      <c r="C279" s="5"/>
      <c r="D279" s="5"/>
      <c r="E279" s="5"/>
      <c r="F279" s="5"/>
      <c r="G279" s="6"/>
      <c r="H279" s="6"/>
      <c r="I279" s="7"/>
      <c r="J279" s="7"/>
      <c r="K279" s="7"/>
    </row>
    <row r="280" customHeight="1" spans="1:11">
      <c r="A280" s="6"/>
      <c r="B280" s="5"/>
      <c r="C280" s="5"/>
      <c r="D280" s="5"/>
      <c r="E280" s="5"/>
      <c r="F280" s="5"/>
      <c r="G280" s="6"/>
      <c r="H280" s="6"/>
      <c r="I280" s="7"/>
      <c r="J280" s="7"/>
      <c r="K280" s="7"/>
    </row>
    <row r="281" customHeight="1" spans="1:11">
      <c r="A281" s="6"/>
      <c r="B281" s="5"/>
      <c r="C281" s="5"/>
      <c r="D281" s="5"/>
      <c r="E281" s="5"/>
      <c r="F281" s="5"/>
      <c r="G281" s="6"/>
      <c r="H281" s="6"/>
      <c r="I281" s="7"/>
      <c r="J281" s="7"/>
      <c r="K281" s="7"/>
    </row>
    <row r="282" customHeight="1" spans="1:11">
      <c r="A282" s="6"/>
      <c r="B282" s="5"/>
      <c r="C282" s="5"/>
      <c r="D282" s="5"/>
      <c r="E282" s="5"/>
      <c r="F282" s="5"/>
      <c r="G282" s="6"/>
      <c r="H282" s="6"/>
      <c r="I282" s="7"/>
      <c r="J282" s="7"/>
      <c r="K282" s="7"/>
    </row>
    <row r="283" customHeight="1" spans="1:11">
      <c r="A283" s="6"/>
      <c r="B283" s="5"/>
      <c r="C283" s="5"/>
      <c r="D283" s="5"/>
      <c r="E283" s="5"/>
      <c r="F283" s="5"/>
      <c r="G283" s="6"/>
      <c r="H283" s="6"/>
      <c r="I283" s="7"/>
      <c r="J283" s="7"/>
      <c r="K283" s="7"/>
    </row>
    <row r="284" customHeight="1" spans="1:11">
      <c r="A284" s="6"/>
      <c r="B284" s="5"/>
      <c r="C284" s="5"/>
      <c r="D284" s="5"/>
      <c r="E284" s="5"/>
      <c r="F284" s="5"/>
      <c r="G284" s="6"/>
      <c r="H284" s="6"/>
      <c r="I284" s="7"/>
      <c r="J284" s="7"/>
      <c r="K284" s="7"/>
    </row>
    <row r="285" customHeight="1" spans="1:11">
      <c r="A285" s="6"/>
      <c r="B285" s="5"/>
      <c r="C285" s="5"/>
      <c r="D285" s="5"/>
      <c r="E285" s="5"/>
      <c r="F285" s="5"/>
      <c r="G285" s="6"/>
      <c r="H285" s="6"/>
      <c r="I285" s="7"/>
      <c r="J285" s="7"/>
      <c r="K285" s="7"/>
    </row>
    <row r="286" customHeight="1" spans="1:11">
      <c r="A286" s="6"/>
      <c r="B286" s="5"/>
      <c r="C286" s="5"/>
      <c r="D286" s="5"/>
      <c r="E286" s="5"/>
      <c r="F286" s="5"/>
      <c r="G286" s="6"/>
      <c r="H286" s="6"/>
      <c r="I286" s="7"/>
      <c r="J286" s="7"/>
      <c r="K286" s="7"/>
    </row>
    <row r="287" customHeight="1" spans="1:11">
      <c r="A287" s="6"/>
      <c r="B287" s="5"/>
      <c r="C287" s="5"/>
      <c r="D287" s="5"/>
      <c r="E287" s="5"/>
      <c r="F287" s="5"/>
      <c r="G287" s="6"/>
      <c r="H287" s="6"/>
      <c r="I287" s="7"/>
      <c r="J287" s="7"/>
      <c r="K287" s="7"/>
    </row>
    <row r="288" customHeight="1" spans="1:11">
      <c r="A288" s="6"/>
      <c r="B288" s="5"/>
      <c r="C288" s="5"/>
      <c r="D288" s="5"/>
      <c r="E288" s="5"/>
      <c r="F288" s="5"/>
      <c r="G288" s="6"/>
      <c r="H288" s="6"/>
      <c r="I288" s="7"/>
      <c r="J288" s="7"/>
      <c r="K288" s="7"/>
    </row>
    <row r="289" customHeight="1" spans="1:11">
      <c r="A289" s="6"/>
      <c r="B289" s="5"/>
      <c r="C289" s="5"/>
      <c r="D289" s="5"/>
      <c r="E289" s="5"/>
      <c r="F289" s="5"/>
      <c r="G289" s="6"/>
      <c r="H289" s="6"/>
      <c r="I289" s="7"/>
      <c r="J289" s="7"/>
      <c r="K289" s="7"/>
    </row>
    <row r="290" customHeight="1" spans="1:11">
      <c r="A290" s="6"/>
      <c r="B290" s="5"/>
      <c r="C290" s="5"/>
      <c r="D290" s="5"/>
      <c r="E290" s="5"/>
      <c r="F290" s="5"/>
      <c r="G290" s="6"/>
      <c r="H290" s="6"/>
      <c r="I290" s="7"/>
      <c r="J290" s="7"/>
      <c r="K290" s="7"/>
    </row>
    <row r="291" ht="18" customHeight="1" spans="1:11">
      <c r="A291" s="6"/>
      <c r="B291" s="5"/>
      <c r="C291" s="5"/>
      <c r="D291" s="5"/>
      <c r="E291" s="5"/>
      <c r="F291" s="5"/>
      <c r="G291" s="6"/>
      <c r="H291" s="6"/>
      <c r="I291" s="7"/>
      <c r="J291" s="7"/>
      <c r="K291" s="7"/>
    </row>
    <row r="292" ht="7.5" customHeight="1" spans="1:11">
      <c r="A292" s="3"/>
      <c r="B292" s="3"/>
      <c r="C292" s="3"/>
      <c r="D292" s="3"/>
      <c r="E292" s="3"/>
      <c r="F292" s="3"/>
      <c r="G292" s="3"/>
      <c r="H292" s="3"/>
      <c r="I292" s="3"/>
      <c r="J292" s="3"/>
      <c r="K292" s="3"/>
    </row>
    <row r="293" ht="26.25" customHeight="1" spans="1:11">
      <c r="A293" s="2" t="s">
        <v>367</v>
      </c>
      <c r="B293" s="2"/>
      <c r="C293" s="2"/>
      <c r="D293" s="2"/>
      <c r="E293" s="2"/>
      <c r="F293" s="2"/>
      <c r="G293" s="2"/>
      <c r="H293" s="2"/>
      <c r="I293" s="2"/>
      <c r="J293" s="2"/>
      <c r="K293" s="2"/>
    </row>
    <row r="294" customHeight="1" spans="1:11">
      <c r="A294" s="11" t="s">
        <v>410</v>
      </c>
      <c r="B294" s="11"/>
      <c r="C294" s="11"/>
      <c r="D294" s="11"/>
      <c r="E294" s="11"/>
      <c r="F294" s="11"/>
      <c r="G294" s="11"/>
      <c r="H294" s="11"/>
      <c r="I294" s="11"/>
      <c r="J294" s="11"/>
      <c r="K294" s="11"/>
    </row>
    <row r="295" customHeight="1" spans="1:11">
      <c r="A295" s="8" t="s">
        <v>369</v>
      </c>
      <c r="B295" s="3" t="s">
        <v>346</v>
      </c>
      <c r="C295" s="3"/>
      <c r="D295" s="3"/>
      <c r="E295" s="3"/>
      <c r="F295" s="3"/>
      <c r="G295" s="3"/>
      <c r="H295" s="12" t="s">
        <v>411</v>
      </c>
      <c r="I295" s="12"/>
      <c r="J295" s="12"/>
      <c r="K295" s="12"/>
    </row>
    <row r="296" ht="27.75" customHeight="1" spans="1:11">
      <c r="A296" s="13" t="s">
        <v>371</v>
      </c>
      <c r="B296" s="14" t="s">
        <v>412</v>
      </c>
      <c r="C296" s="14"/>
      <c r="D296" s="14"/>
      <c r="E296" s="14"/>
      <c r="F296" s="14"/>
      <c r="G296" s="14"/>
      <c r="H296" s="14"/>
      <c r="I296" s="14"/>
      <c r="J296" s="14"/>
      <c r="K296" s="14"/>
    </row>
    <row r="297" customHeight="1" spans="1:11">
      <c r="A297" s="6" t="s">
        <v>48</v>
      </c>
      <c r="B297" s="6" t="s">
        <v>254</v>
      </c>
      <c r="C297" s="6" t="s">
        <v>255</v>
      </c>
      <c r="D297" s="6"/>
      <c r="E297" s="6"/>
      <c r="F297" s="6"/>
      <c r="G297" s="6" t="s">
        <v>282</v>
      </c>
      <c r="H297" s="6"/>
      <c r="I297" s="6" t="s">
        <v>373</v>
      </c>
      <c r="J297" s="6" t="s">
        <v>374</v>
      </c>
      <c r="K297" s="6" t="s">
        <v>375</v>
      </c>
    </row>
    <row r="298" customHeight="1" spans="1:11">
      <c r="A298" s="6" t="s">
        <v>51</v>
      </c>
      <c r="B298" s="5" t="s">
        <v>376</v>
      </c>
      <c r="C298" s="5"/>
      <c r="D298" s="5"/>
      <c r="E298" s="5"/>
      <c r="F298" s="5"/>
      <c r="G298" s="6" t="s">
        <v>377</v>
      </c>
      <c r="H298" s="6"/>
      <c r="I298" s="7"/>
      <c r="J298" s="7"/>
      <c r="K298" s="15">
        <f>K299+K301+K306+K308+K309</f>
        <v>9366.34</v>
      </c>
    </row>
    <row r="299" customHeight="1" spans="1:11">
      <c r="A299" s="6" t="s">
        <v>72</v>
      </c>
      <c r="B299" s="5" t="s">
        <v>199</v>
      </c>
      <c r="C299" s="5"/>
      <c r="D299" s="5"/>
      <c r="E299" s="5"/>
      <c r="F299" s="5"/>
      <c r="G299" s="6" t="s">
        <v>377</v>
      </c>
      <c r="H299" s="6"/>
      <c r="I299" s="7"/>
      <c r="J299" s="7"/>
      <c r="K299" s="15">
        <f>SUM(K300:K300)</f>
        <v>744.94</v>
      </c>
    </row>
    <row r="300" customHeight="1" spans="1:11">
      <c r="A300" s="6"/>
      <c r="B300" s="5" t="s">
        <v>324</v>
      </c>
      <c r="C300" s="5"/>
      <c r="D300" s="5"/>
      <c r="E300" s="5"/>
      <c r="F300" s="5"/>
      <c r="G300" s="6" t="s">
        <v>378</v>
      </c>
      <c r="H300" s="6"/>
      <c r="I300" s="7">
        <v>215.3</v>
      </c>
      <c r="J300" s="15">
        <v>3.46</v>
      </c>
      <c r="K300" s="15">
        <f t="shared" ref="K300:K304" si="22">ROUND(I300*J300,2)</f>
        <v>744.94</v>
      </c>
    </row>
    <row r="301" customHeight="1" spans="1:11">
      <c r="A301" s="6" t="s">
        <v>131</v>
      </c>
      <c r="B301" s="5" t="s">
        <v>200</v>
      </c>
      <c r="C301" s="5"/>
      <c r="D301" s="5"/>
      <c r="E301" s="5"/>
      <c r="F301" s="5"/>
      <c r="G301" s="6" t="s">
        <v>377</v>
      </c>
      <c r="H301" s="6"/>
      <c r="I301" s="7"/>
      <c r="J301" s="7"/>
      <c r="K301" s="15">
        <f>SUM(K302:K305)</f>
        <v>7728.63</v>
      </c>
    </row>
    <row r="302" customHeight="1" spans="1:11">
      <c r="A302" s="6"/>
      <c r="B302" s="5" t="s">
        <v>298</v>
      </c>
      <c r="C302" s="5"/>
      <c r="D302" s="5"/>
      <c r="E302" s="5"/>
      <c r="F302" s="5"/>
      <c r="G302" s="6" t="s">
        <v>82</v>
      </c>
      <c r="H302" s="6"/>
      <c r="I302" s="7">
        <v>2.2</v>
      </c>
      <c r="J302" s="15">
        <v>1168.14</v>
      </c>
      <c r="K302" s="15">
        <f t="shared" si="22"/>
        <v>2569.91</v>
      </c>
    </row>
    <row r="303" customHeight="1" spans="1:11">
      <c r="A303" s="6"/>
      <c r="B303" s="5" t="s">
        <v>413</v>
      </c>
      <c r="C303" s="5"/>
      <c r="D303" s="5"/>
      <c r="E303" s="5"/>
      <c r="F303" s="5"/>
      <c r="G303" s="6" t="s">
        <v>289</v>
      </c>
      <c r="H303" s="6"/>
      <c r="I303" s="7">
        <v>0.42</v>
      </c>
      <c r="J303" s="15">
        <v>350</v>
      </c>
      <c r="K303" s="15">
        <f t="shared" si="22"/>
        <v>147</v>
      </c>
    </row>
    <row r="304" customHeight="1" spans="1:11">
      <c r="A304" s="6"/>
      <c r="B304" s="5" t="s">
        <v>414</v>
      </c>
      <c r="C304" s="5"/>
      <c r="D304" s="5"/>
      <c r="E304" s="5"/>
      <c r="F304" s="5"/>
      <c r="G304" s="6" t="s">
        <v>289</v>
      </c>
      <c r="H304" s="6"/>
      <c r="I304" s="7">
        <v>1.24</v>
      </c>
      <c r="J304" s="15">
        <v>3980</v>
      </c>
      <c r="K304" s="15">
        <f t="shared" si="22"/>
        <v>4935.2</v>
      </c>
    </row>
    <row r="305" customHeight="1" spans="1:11">
      <c r="A305" s="6"/>
      <c r="B305" s="5" t="s">
        <v>403</v>
      </c>
      <c r="C305" s="5"/>
      <c r="D305" s="5"/>
      <c r="E305" s="5"/>
      <c r="F305" s="5"/>
      <c r="G305" s="6" t="s">
        <v>380</v>
      </c>
      <c r="H305" s="6"/>
      <c r="I305" s="7">
        <v>1</v>
      </c>
      <c r="J305" s="15">
        <f>K302+K303+K304</f>
        <v>7652.11</v>
      </c>
      <c r="K305" s="15">
        <f>ROUND(I305*J305/100,2)</f>
        <v>76.52</v>
      </c>
    </row>
    <row r="306" customHeight="1" spans="1:11">
      <c r="A306" s="6" t="s">
        <v>381</v>
      </c>
      <c r="B306" s="5" t="s">
        <v>382</v>
      </c>
      <c r="C306" s="5"/>
      <c r="D306" s="5"/>
      <c r="E306" s="5"/>
      <c r="F306" s="5"/>
      <c r="G306" s="6" t="s">
        <v>377</v>
      </c>
      <c r="H306" s="6"/>
      <c r="I306" s="7"/>
      <c r="J306" s="7"/>
      <c r="K306" s="15">
        <f>SUM(K307:K307)</f>
        <v>2.76</v>
      </c>
    </row>
    <row r="307" customHeight="1" spans="1:11">
      <c r="A307" s="6"/>
      <c r="B307" s="5" t="s">
        <v>352</v>
      </c>
      <c r="C307" s="5"/>
      <c r="D307" s="5"/>
      <c r="E307" s="5"/>
      <c r="F307" s="5"/>
      <c r="G307" s="6" t="s">
        <v>383</v>
      </c>
      <c r="H307" s="6"/>
      <c r="I307" s="7">
        <v>3.36</v>
      </c>
      <c r="J307" s="15">
        <f>施工机械台时费汇总表!P22</f>
        <v>0.82</v>
      </c>
      <c r="K307" s="15">
        <f t="shared" ref="K307:K312" si="23">ROUND(I307*J307,2)</f>
        <v>2.76</v>
      </c>
    </row>
    <row r="308" customHeight="1" spans="1:11">
      <c r="A308" s="6" t="s">
        <v>384</v>
      </c>
      <c r="B308" s="5" t="s">
        <v>385</v>
      </c>
      <c r="C308" s="5"/>
      <c r="D308" s="5"/>
      <c r="E308" s="5"/>
      <c r="F308" s="5"/>
      <c r="G308" s="6" t="s">
        <v>377</v>
      </c>
      <c r="H308" s="6"/>
      <c r="I308" s="7" t="str">
        <f>'工程单价费(税)率汇总表'!D11&amp;"%"</f>
        <v>4.5%</v>
      </c>
      <c r="J308" s="15">
        <f>K299+K301+K306</f>
        <v>8476.33</v>
      </c>
      <c r="K308" s="15">
        <f t="shared" si="23"/>
        <v>381.43</v>
      </c>
    </row>
    <row r="309" customHeight="1" spans="1:11">
      <c r="A309" s="6" t="s">
        <v>386</v>
      </c>
      <c r="B309" s="5" t="s">
        <v>387</v>
      </c>
      <c r="C309" s="5"/>
      <c r="D309" s="5"/>
      <c r="E309" s="5"/>
      <c r="F309" s="5"/>
      <c r="G309" s="6" t="s">
        <v>377</v>
      </c>
      <c r="H309" s="6"/>
      <c r="I309" s="7" t="str">
        <f>'工程单价费(税)率汇总表'!E11&amp;"%"</f>
        <v>6%</v>
      </c>
      <c r="J309" s="15">
        <f>K299+K301+K306</f>
        <v>8476.33</v>
      </c>
      <c r="K309" s="15">
        <f t="shared" si="23"/>
        <v>508.58</v>
      </c>
    </row>
    <row r="310" customHeight="1" spans="1:11">
      <c r="A310" s="6" t="s">
        <v>53</v>
      </c>
      <c r="B310" s="5" t="s">
        <v>388</v>
      </c>
      <c r="C310" s="5"/>
      <c r="D310" s="5"/>
      <c r="E310" s="5"/>
      <c r="F310" s="5"/>
      <c r="G310" s="6" t="s">
        <v>377</v>
      </c>
      <c r="H310" s="6"/>
      <c r="I310" s="7" t="str">
        <f>'工程单价费(税)率汇总表'!F11&amp;"%"</f>
        <v>3.7%</v>
      </c>
      <c r="J310" s="15">
        <f>K298</f>
        <v>9366.34</v>
      </c>
      <c r="K310" s="15">
        <f t="shared" si="23"/>
        <v>346.55</v>
      </c>
    </row>
    <row r="311" customHeight="1" spans="1:11">
      <c r="A311" s="6" t="s">
        <v>55</v>
      </c>
      <c r="B311" s="5" t="s">
        <v>216</v>
      </c>
      <c r="C311" s="5"/>
      <c r="D311" s="5"/>
      <c r="E311" s="5"/>
      <c r="F311" s="5"/>
      <c r="G311" s="6" t="s">
        <v>377</v>
      </c>
      <c r="H311" s="6"/>
      <c r="I311" s="7" t="str">
        <f>'工程单价费(税)率汇总表'!G11&amp;"%"</f>
        <v>32.8%</v>
      </c>
      <c r="J311" s="15">
        <f>K299</f>
        <v>744.94</v>
      </c>
      <c r="K311" s="15">
        <f t="shared" si="23"/>
        <v>244.34</v>
      </c>
    </row>
    <row r="312" customHeight="1" spans="1:11">
      <c r="A312" s="6" t="s">
        <v>57</v>
      </c>
      <c r="B312" s="5" t="s">
        <v>389</v>
      </c>
      <c r="C312" s="5"/>
      <c r="D312" s="5"/>
      <c r="E312" s="5"/>
      <c r="F312" s="5"/>
      <c r="G312" s="6" t="s">
        <v>377</v>
      </c>
      <c r="H312" s="6"/>
      <c r="I312" s="7" t="str">
        <f>'工程单价费(税)率汇总表'!H11&amp;"%"</f>
        <v>7%</v>
      </c>
      <c r="J312" s="15">
        <f>K298+K310+K311</f>
        <v>9957.23</v>
      </c>
      <c r="K312" s="15">
        <f t="shared" si="23"/>
        <v>697.01</v>
      </c>
    </row>
    <row r="313" customHeight="1" spans="1:11">
      <c r="A313" s="6" t="s">
        <v>59</v>
      </c>
      <c r="B313" s="5" t="s">
        <v>207</v>
      </c>
      <c r="C313" s="5"/>
      <c r="D313" s="5"/>
      <c r="E313" s="5"/>
      <c r="F313" s="5"/>
      <c r="G313" s="6" t="s">
        <v>377</v>
      </c>
      <c r="H313" s="6"/>
      <c r="I313" s="7"/>
      <c r="J313" s="7"/>
      <c r="K313" s="15">
        <f>SUM(K314:K314)</f>
        <v>861.2</v>
      </c>
    </row>
    <row r="314" customHeight="1" spans="1:11">
      <c r="A314" s="6"/>
      <c r="B314" s="5" t="s">
        <v>324</v>
      </c>
      <c r="C314" s="5"/>
      <c r="D314" s="5"/>
      <c r="E314" s="5"/>
      <c r="F314" s="5"/>
      <c r="G314" s="6" t="s">
        <v>378</v>
      </c>
      <c r="H314" s="6"/>
      <c r="I314" s="7">
        <f>I300</f>
        <v>215.3</v>
      </c>
      <c r="J314" s="15">
        <v>4</v>
      </c>
      <c r="K314" s="15">
        <f t="shared" ref="K314:K316" si="24">ROUND(I314*J314,2)</f>
        <v>861.2</v>
      </c>
    </row>
    <row r="315" customHeight="1" spans="1:11">
      <c r="A315" s="6" t="s">
        <v>227</v>
      </c>
      <c r="B315" s="5" t="s">
        <v>208</v>
      </c>
      <c r="C315" s="5"/>
      <c r="D315" s="5"/>
      <c r="E315" s="5"/>
      <c r="F315" s="5"/>
      <c r="G315" s="6" t="s">
        <v>377</v>
      </c>
      <c r="H315" s="6"/>
      <c r="I315" s="7" t="str">
        <f>'工程单价费(税)率汇总表'!I11&amp;"%"</f>
        <v>0%</v>
      </c>
      <c r="J315" s="15">
        <f>K298+K310+K311+K312+K313</f>
        <v>11515.44</v>
      </c>
      <c r="K315" s="15">
        <f t="shared" si="24"/>
        <v>0</v>
      </c>
    </row>
    <row r="316" customHeight="1" spans="1:11">
      <c r="A316" s="6" t="s">
        <v>223</v>
      </c>
      <c r="B316" s="5" t="s">
        <v>209</v>
      </c>
      <c r="C316" s="5"/>
      <c r="D316" s="5"/>
      <c r="E316" s="5"/>
      <c r="F316" s="5"/>
      <c r="G316" s="6" t="s">
        <v>377</v>
      </c>
      <c r="H316" s="6"/>
      <c r="I316" s="7" t="str">
        <f>'工程单价费(税)率汇总表'!J11&amp;"%"</f>
        <v>9%</v>
      </c>
      <c r="J316" s="15">
        <f>K298+K310+K311+K312+K313+K315</f>
        <v>11515.44</v>
      </c>
      <c r="K316" s="15">
        <f t="shared" si="24"/>
        <v>1036.39</v>
      </c>
    </row>
    <row r="317" customHeight="1" spans="1:11">
      <c r="A317" s="6"/>
      <c r="B317" s="5" t="s">
        <v>61</v>
      </c>
      <c r="C317" s="5"/>
      <c r="D317" s="5"/>
      <c r="E317" s="5"/>
      <c r="F317" s="5"/>
      <c r="G317" s="6" t="s">
        <v>377</v>
      </c>
      <c r="H317" s="6"/>
      <c r="I317" s="7"/>
      <c r="J317" s="7"/>
      <c r="K317" s="15">
        <f>K298+K310+K311+K312+K313+K315+K316</f>
        <v>12551.83</v>
      </c>
    </row>
    <row r="318" customHeight="1" spans="1:11">
      <c r="A318" s="6"/>
      <c r="B318" s="5" t="s">
        <v>391</v>
      </c>
      <c r="C318" s="5"/>
      <c r="D318" s="5"/>
      <c r="E318" s="5"/>
      <c r="F318" s="5"/>
      <c r="G318" s="6" t="s">
        <v>377</v>
      </c>
      <c r="H318" s="6"/>
      <c r="I318" s="7"/>
      <c r="J318" s="7"/>
      <c r="K318" s="15">
        <f>ROUND(K317/100,2)</f>
        <v>125.52</v>
      </c>
    </row>
    <row r="319" customHeight="1" spans="1:11">
      <c r="A319" s="6"/>
      <c r="B319" s="5"/>
      <c r="C319" s="5"/>
      <c r="D319" s="5"/>
      <c r="E319" s="5"/>
      <c r="F319" s="5"/>
      <c r="G319" s="6"/>
      <c r="H319" s="6"/>
      <c r="I319" s="7"/>
      <c r="J319" s="7"/>
      <c r="K319" s="7"/>
    </row>
    <row r="320" customHeight="1" spans="1:11">
      <c r="A320" s="6"/>
      <c r="B320" s="5"/>
      <c r="C320" s="5"/>
      <c r="D320" s="5"/>
      <c r="E320" s="5"/>
      <c r="F320" s="5"/>
      <c r="G320" s="6"/>
      <c r="H320" s="6"/>
      <c r="I320" s="7"/>
      <c r="J320" s="7"/>
      <c r="K320" s="7"/>
    </row>
    <row r="321" customHeight="1" spans="1:11">
      <c r="A321" s="6"/>
      <c r="B321" s="5"/>
      <c r="C321" s="5"/>
      <c r="D321" s="5"/>
      <c r="E321" s="5"/>
      <c r="F321" s="5"/>
      <c r="G321" s="6"/>
      <c r="H321" s="6"/>
      <c r="I321" s="7"/>
      <c r="J321" s="7"/>
      <c r="K321" s="7"/>
    </row>
    <row r="322" customHeight="1" spans="1:11">
      <c r="A322" s="6"/>
      <c r="B322" s="5"/>
      <c r="C322" s="5"/>
      <c r="D322" s="5"/>
      <c r="E322" s="5"/>
      <c r="F322" s="5"/>
      <c r="G322" s="6"/>
      <c r="H322" s="6"/>
      <c r="I322" s="7"/>
      <c r="J322" s="7"/>
      <c r="K322" s="7"/>
    </row>
    <row r="323" customHeight="1" spans="1:11">
      <c r="A323" s="6"/>
      <c r="B323" s="5"/>
      <c r="C323" s="5"/>
      <c r="D323" s="5"/>
      <c r="E323" s="5"/>
      <c r="F323" s="5"/>
      <c r="G323" s="6"/>
      <c r="H323" s="6"/>
      <c r="I323" s="7"/>
      <c r="J323" s="7"/>
      <c r="K323" s="7"/>
    </row>
    <row r="324" customHeight="1" spans="1:11">
      <c r="A324" s="6"/>
      <c r="B324" s="5"/>
      <c r="C324" s="5"/>
      <c r="D324" s="5"/>
      <c r="E324" s="5"/>
      <c r="F324" s="5"/>
      <c r="G324" s="6"/>
      <c r="H324" s="6"/>
      <c r="I324" s="7"/>
      <c r="J324" s="7"/>
      <c r="K324" s="7"/>
    </row>
    <row r="325" customHeight="1" spans="1:11">
      <c r="A325" s="6"/>
      <c r="B325" s="5"/>
      <c r="C325" s="5"/>
      <c r="D325" s="5"/>
      <c r="E325" s="5"/>
      <c r="F325" s="5"/>
      <c r="G325" s="6"/>
      <c r="H325" s="6"/>
      <c r="I325" s="7"/>
      <c r="J325" s="7"/>
      <c r="K325" s="7"/>
    </row>
    <row r="326" customHeight="1" spans="1:11">
      <c r="A326" s="6"/>
      <c r="B326" s="5"/>
      <c r="C326" s="5"/>
      <c r="D326" s="5"/>
      <c r="E326" s="5"/>
      <c r="F326" s="5"/>
      <c r="G326" s="6"/>
      <c r="H326" s="6"/>
      <c r="I326" s="7"/>
      <c r="J326" s="7"/>
      <c r="K326" s="7"/>
    </row>
    <row r="327" customHeight="1" spans="1:11">
      <c r="A327" s="6"/>
      <c r="B327" s="5"/>
      <c r="C327" s="5"/>
      <c r="D327" s="5"/>
      <c r="E327" s="5"/>
      <c r="F327" s="5"/>
      <c r="G327" s="6"/>
      <c r="H327" s="6"/>
      <c r="I327" s="7"/>
      <c r="J327" s="7"/>
      <c r="K327" s="7"/>
    </row>
    <row r="328" customHeight="1" spans="1:11">
      <c r="A328" s="6"/>
      <c r="B328" s="5"/>
      <c r="C328" s="5"/>
      <c r="D328" s="5"/>
      <c r="E328" s="5"/>
      <c r="F328" s="5"/>
      <c r="G328" s="6"/>
      <c r="H328" s="6"/>
      <c r="I328" s="7"/>
      <c r="J328" s="7"/>
      <c r="K328" s="7"/>
    </row>
    <row r="329" ht="7.5" customHeight="1" spans="1:11">
      <c r="A329" s="3"/>
      <c r="B329" s="3"/>
      <c r="C329" s="3"/>
      <c r="D329" s="3"/>
      <c r="E329" s="3"/>
      <c r="F329" s="3"/>
      <c r="G329" s="3"/>
      <c r="H329" s="3"/>
      <c r="I329" s="3"/>
      <c r="J329" s="3"/>
      <c r="K329" s="3"/>
    </row>
    <row r="330" ht="26.25" customHeight="1" spans="1:11">
      <c r="A330" s="2" t="s">
        <v>367</v>
      </c>
      <c r="B330" s="2"/>
      <c r="C330" s="2"/>
      <c r="D330" s="2"/>
      <c r="E330" s="2"/>
      <c r="F330" s="2"/>
      <c r="G330" s="2"/>
      <c r="H330" s="2"/>
      <c r="I330" s="2"/>
      <c r="J330" s="2"/>
      <c r="K330" s="2"/>
    </row>
    <row r="331" customHeight="1" spans="1:11">
      <c r="A331" s="11" t="s">
        <v>415</v>
      </c>
      <c r="B331" s="11"/>
      <c r="C331" s="11"/>
      <c r="D331" s="11"/>
      <c r="E331" s="11"/>
      <c r="F331" s="11"/>
      <c r="G331" s="11"/>
      <c r="H331" s="11"/>
      <c r="I331" s="11"/>
      <c r="J331" s="11"/>
      <c r="K331" s="11"/>
    </row>
    <row r="332" customHeight="1" spans="1:11">
      <c r="A332" s="8" t="s">
        <v>369</v>
      </c>
      <c r="B332" s="3" t="s">
        <v>359</v>
      </c>
      <c r="C332" s="3"/>
      <c r="D332" s="3"/>
      <c r="E332" s="3"/>
      <c r="F332" s="3"/>
      <c r="G332" s="3"/>
      <c r="H332" s="12" t="s">
        <v>411</v>
      </c>
      <c r="I332" s="12"/>
      <c r="J332" s="12"/>
      <c r="K332" s="12"/>
    </row>
    <row r="333" ht="27.75" customHeight="1" spans="1:11">
      <c r="A333" s="13" t="s">
        <v>371</v>
      </c>
      <c r="B333" s="14" t="s">
        <v>416</v>
      </c>
      <c r="C333" s="14"/>
      <c r="D333" s="14"/>
      <c r="E333" s="14"/>
      <c r="F333" s="14"/>
      <c r="G333" s="14"/>
      <c r="H333" s="14"/>
      <c r="I333" s="14"/>
      <c r="J333" s="14"/>
      <c r="K333" s="14"/>
    </row>
    <row r="334" customHeight="1" spans="1:11">
      <c r="A334" s="6" t="s">
        <v>48</v>
      </c>
      <c r="B334" s="6" t="s">
        <v>254</v>
      </c>
      <c r="C334" s="6" t="s">
        <v>255</v>
      </c>
      <c r="D334" s="6"/>
      <c r="E334" s="6"/>
      <c r="F334" s="6"/>
      <c r="G334" s="6" t="s">
        <v>282</v>
      </c>
      <c r="H334" s="6"/>
      <c r="I334" s="6" t="s">
        <v>373</v>
      </c>
      <c r="J334" s="6" t="s">
        <v>374</v>
      </c>
      <c r="K334" s="6" t="s">
        <v>375</v>
      </c>
    </row>
    <row r="335" customHeight="1" spans="1:11">
      <c r="A335" s="6" t="s">
        <v>51</v>
      </c>
      <c r="B335" s="5" t="s">
        <v>376</v>
      </c>
      <c r="C335" s="5"/>
      <c r="D335" s="5"/>
      <c r="E335" s="5"/>
      <c r="F335" s="5"/>
      <c r="G335" s="6" t="s">
        <v>377</v>
      </c>
      <c r="H335" s="6"/>
      <c r="I335" s="7"/>
      <c r="J335" s="7"/>
      <c r="K335" s="15">
        <f>K336+K339+K350+K358+K359</f>
        <v>2917.38</v>
      </c>
    </row>
    <row r="336" customHeight="1" spans="1:11">
      <c r="A336" s="6" t="s">
        <v>72</v>
      </c>
      <c r="B336" s="5" t="s">
        <v>199</v>
      </c>
      <c r="C336" s="5"/>
      <c r="D336" s="5"/>
      <c r="E336" s="5"/>
      <c r="F336" s="5"/>
      <c r="G336" s="6" t="s">
        <v>377</v>
      </c>
      <c r="H336" s="6"/>
      <c r="I336" s="7"/>
      <c r="J336" s="7"/>
      <c r="K336" s="15">
        <f>SUM(K337:K338)</f>
        <v>740.44</v>
      </c>
    </row>
    <row r="337" customHeight="1" spans="1:11">
      <c r="A337" s="6"/>
      <c r="B337" s="5" t="s">
        <v>324</v>
      </c>
      <c r="C337" s="5"/>
      <c r="D337" s="5"/>
      <c r="E337" s="5"/>
      <c r="F337" s="5"/>
      <c r="G337" s="6" t="s">
        <v>378</v>
      </c>
      <c r="H337" s="6"/>
      <c r="I337" s="7">
        <v>12</v>
      </c>
      <c r="J337" s="15">
        <v>3.46</v>
      </c>
      <c r="K337" s="15">
        <f t="shared" ref="K337:K344" si="25">ROUND(I337*J337,2)</f>
        <v>41.52</v>
      </c>
    </row>
    <row r="338" customHeight="1" spans="1:11">
      <c r="A338" s="6"/>
      <c r="B338" s="5" t="s">
        <v>324</v>
      </c>
      <c r="C338" s="5"/>
      <c r="D338" s="5"/>
      <c r="E338" s="5"/>
      <c r="F338" s="5"/>
      <c r="G338" s="6" t="s">
        <v>378</v>
      </c>
      <c r="H338" s="6"/>
      <c r="I338" s="7">
        <v>202</v>
      </c>
      <c r="J338" s="15">
        <v>3.46</v>
      </c>
      <c r="K338" s="15">
        <f t="shared" si="25"/>
        <v>698.92</v>
      </c>
    </row>
    <row r="339" customHeight="1" spans="1:11">
      <c r="A339" s="6" t="s">
        <v>131</v>
      </c>
      <c r="B339" s="5" t="s">
        <v>200</v>
      </c>
      <c r="C339" s="5"/>
      <c r="D339" s="5"/>
      <c r="E339" s="5"/>
      <c r="F339" s="5"/>
      <c r="G339" s="6" t="s">
        <v>377</v>
      </c>
      <c r="H339" s="6"/>
      <c r="I339" s="7"/>
      <c r="J339" s="7"/>
      <c r="K339" s="15">
        <f>SUM(K340:K349)</f>
        <v>1408</v>
      </c>
    </row>
    <row r="340" customHeight="1" spans="1:11">
      <c r="A340" s="6"/>
      <c r="B340" s="5" t="s">
        <v>417</v>
      </c>
      <c r="C340" s="5"/>
      <c r="D340" s="5"/>
      <c r="E340" s="5"/>
      <c r="F340" s="5"/>
      <c r="G340" s="6" t="s">
        <v>285</v>
      </c>
      <c r="H340" s="6"/>
      <c r="I340" s="7">
        <v>79.57</v>
      </c>
      <c r="J340" s="15">
        <v>3</v>
      </c>
      <c r="K340" s="15">
        <f t="shared" si="25"/>
        <v>238.71</v>
      </c>
    </row>
    <row r="341" customHeight="1" spans="1:11">
      <c r="A341" s="6"/>
      <c r="B341" s="5" t="s">
        <v>284</v>
      </c>
      <c r="C341" s="5"/>
      <c r="D341" s="5"/>
      <c r="E341" s="5"/>
      <c r="F341" s="5"/>
      <c r="G341" s="6" t="s">
        <v>285</v>
      </c>
      <c r="H341" s="6"/>
      <c r="I341" s="7">
        <v>42.97</v>
      </c>
      <c r="J341" s="15">
        <v>3</v>
      </c>
      <c r="K341" s="15">
        <f t="shared" si="25"/>
        <v>128.91</v>
      </c>
    </row>
    <row r="342" customHeight="1" spans="1:11">
      <c r="A342" s="6"/>
      <c r="B342" s="5" t="s">
        <v>300</v>
      </c>
      <c r="C342" s="5"/>
      <c r="D342" s="5"/>
      <c r="E342" s="5"/>
      <c r="F342" s="5"/>
      <c r="G342" s="6" t="s">
        <v>285</v>
      </c>
      <c r="H342" s="6"/>
      <c r="I342" s="7">
        <v>1.5</v>
      </c>
      <c r="J342" s="15">
        <v>5.49</v>
      </c>
      <c r="K342" s="15">
        <f t="shared" si="25"/>
        <v>8.24</v>
      </c>
    </row>
    <row r="343" customHeight="1" spans="1:11">
      <c r="A343" s="6"/>
      <c r="B343" s="5" t="s">
        <v>418</v>
      </c>
      <c r="C343" s="5"/>
      <c r="D343" s="5"/>
      <c r="E343" s="5"/>
      <c r="F343" s="5"/>
      <c r="G343" s="6" t="s">
        <v>285</v>
      </c>
      <c r="H343" s="6"/>
      <c r="I343" s="7">
        <v>0.5</v>
      </c>
      <c r="J343" s="15">
        <v>6.46</v>
      </c>
      <c r="K343" s="15">
        <f t="shared" si="25"/>
        <v>3.23</v>
      </c>
    </row>
    <row r="344" customHeight="1" spans="1:11">
      <c r="A344" s="6"/>
      <c r="B344" s="5" t="s">
        <v>419</v>
      </c>
      <c r="C344" s="5"/>
      <c r="D344" s="5"/>
      <c r="E344" s="5"/>
      <c r="F344" s="5"/>
      <c r="G344" s="6" t="s">
        <v>285</v>
      </c>
      <c r="H344" s="6"/>
      <c r="I344" s="7">
        <v>25.33</v>
      </c>
      <c r="J344" s="15">
        <v>6.02</v>
      </c>
      <c r="K344" s="15">
        <f t="shared" si="25"/>
        <v>152.49</v>
      </c>
    </row>
    <row r="345" customHeight="1" spans="1:11">
      <c r="A345" s="6"/>
      <c r="B345" s="5" t="s">
        <v>403</v>
      </c>
      <c r="C345" s="5"/>
      <c r="D345" s="5"/>
      <c r="E345" s="5"/>
      <c r="F345" s="5"/>
      <c r="G345" s="6" t="s">
        <v>380</v>
      </c>
      <c r="H345" s="6"/>
      <c r="I345" s="7">
        <v>2</v>
      </c>
      <c r="J345" s="15">
        <f>K340+K341+K342+K343+K344</f>
        <v>531.58</v>
      </c>
      <c r="K345" s="15">
        <f>ROUND(I345*J345/100,2)</f>
        <v>10.63</v>
      </c>
    </row>
    <row r="346" customHeight="1" spans="1:11">
      <c r="A346" s="6"/>
      <c r="B346" s="5" t="s">
        <v>302</v>
      </c>
      <c r="C346" s="5"/>
      <c r="D346" s="5"/>
      <c r="E346" s="5"/>
      <c r="F346" s="5"/>
      <c r="G346" s="6" t="s">
        <v>285</v>
      </c>
      <c r="H346" s="6"/>
      <c r="I346" s="7">
        <v>121.68</v>
      </c>
      <c r="J346" s="15">
        <v>5.49</v>
      </c>
      <c r="K346" s="15">
        <f t="shared" ref="K346:K348" si="26">ROUND(I346*J346,2)</f>
        <v>668.02</v>
      </c>
    </row>
    <row r="347" customHeight="1" spans="1:11">
      <c r="A347" s="6"/>
      <c r="B347" s="5" t="s">
        <v>420</v>
      </c>
      <c r="C347" s="5"/>
      <c r="D347" s="5"/>
      <c r="E347" s="5"/>
      <c r="F347" s="5"/>
      <c r="G347" s="6" t="s">
        <v>82</v>
      </c>
      <c r="H347" s="6"/>
      <c r="I347" s="7">
        <v>0.28</v>
      </c>
      <c r="J347" s="15">
        <v>600</v>
      </c>
      <c r="K347" s="15">
        <f t="shared" si="26"/>
        <v>168</v>
      </c>
    </row>
    <row r="348" customHeight="1" spans="1:11">
      <c r="A348" s="6"/>
      <c r="B348" s="5" t="s">
        <v>418</v>
      </c>
      <c r="C348" s="5"/>
      <c r="D348" s="5"/>
      <c r="E348" s="5"/>
      <c r="F348" s="5"/>
      <c r="G348" s="6" t="s">
        <v>285</v>
      </c>
      <c r="H348" s="6"/>
      <c r="I348" s="7">
        <v>1.98</v>
      </c>
      <c r="J348" s="15">
        <v>6.46</v>
      </c>
      <c r="K348" s="15">
        <f t="shared" si="26"/>
        <v>12.79</v>
      </c>
    </row>
    <row r="349" customHeight="1" spans="1:11">
      <c r="A349" s="6"/>
      <c r="B349" s="5" t="s">
        <v>403</v>
      </c>
      <c r="C349" s="5"/>
      <c r="D349" s="5"/>
      <c r="E349" s="5"/>
      <c r="F349" s="5"/>
      <c r="G349" s="6" t="s">
        <v>380</v>
      </c>
      <c r="H349" s="6"/>
      <c r="I349" s="7">
        <v>2</v>
      </c>
      <c r="J349" s="15">
        <f>K346+K347+K348</f>
        <v>848.81</v>
      </c>
      <c r="K349" s="15">
        <f>ROUND(I349*J349/100,2)</f>
        <v>16.98</v>
      </c>
    </row>
    <row r="350" customHeight="1" spans="1:11">
      <c r="A350" s="6" t="s">
        <v>381</v>
      </c>
      <c r="B350" s="5" t="s">
        <v>382</v>
      </c>
      <c r="C350" s="5"/>
      <c r="D350" s="5"/>
      <c r="E350" s="5"/>
      <c r="F350" s="5"/>
      <c r="G350" s="6" t="s">
        <v>377</v>
      </c>
      <c r="H350" s="6"/>
      <c r="I350" s="7"/>
      <c r="J350" s="7"/>
      <c r="K350" s="15">
        <f>SUM(K351:K357)</f>
        <v>491.72</v>
      </c>
    </row>
    <row r="351" customHeight="1" spans="1:11">
      <c r="A351" s="6"/>
      <c r="B351" s="5" t="s">
        <v>347</v>
      </c>
      <c r="C351" s="5" t="s">
        <v>348</v>
      </c>
      <c r="D351" s="5"/>
      <c r="E351" s="5"/>
      <c r="F351" s="5"/>
      <c r="G351" s="6" t="s">
        <v>383</v>
      </c>
      <c r="H351" s="6"/>
      <c r="I351" s="7">
        <v>0.36</v>
      </c>
      <c r="J351" s="15">
        <f>施工机械台时费汇总表!P20</f>
        <v>42.94</v>
      </c>
      <c r="K351" s="15">
        <f t="shared" ref="K351:K353" si="27">ROUND(I351*J351,2)</f>
        <v>15.46</v>
      </c>
    </row>
    <row r="352" customHeight="1" spans="1:11">
      <c r="A352" s="6"/>
      <c r="B352" s="5" t="s">
        <v>357</v>
      </c>
      <c r="C352" s="5" t="s">
        <v>358</v>
      </c>
      <c r="D352" s="5"/>
      <c r="E352" s="5"/>
      <c r="F352" s="5"/>
      <c r="G352" s="6" t="s">
        <v>383</v>
      </c>
      <c r="H352" s="6"/>
      <c r="I352" s="7">
        <v>0.7</v>
      </c>
      <c r="J352" s="15">
        <f>施工机械台时费汇总表!P24</f>
        <v>11.25</v>
      </c>
      <c r="K352" s="15">
        <f t="shared" si="27"/>
        <v>7.88</v>
      </c>
    </row>
    <row r="353" customHeight="1" spans="1:11">
      <c r="A353" s="6"/>
      <c r="B353" s="5" t="s">
        <v>360</v>
      </c>
      <c r="C353" s="5" t="s">
        <v>361</v>
      </c>
      <c r="D353" s="5"/>
      <c r="E353" s="5"/>
      <c r="F353" s="5"/>
      <c r="G353" s="6" t="s">
        <v>383</v>
      </c>
      <c r="H353" s="6"/>
      <c r="I353" s="7">
        <v>0.06</v>
      </c>
      <c r="J353" s="15">
        <f>施工机械台时费汇总表!P25</f>
        <v>19.95</v>
      </c>
      <c r="K353" s="15">
        <f t="shared" si="27"/>
        <v>1.2</v>
      </c>
    </row>
    <row r="354" customHeight="1" spans="1:11">
      <c r="A354" s="6"/>
      <c r="B354" s="5" t="s">
        <v>409</v>
      </c>
      <c r="C354" s="5"/>
      <c r="D354" s="5"/>
      <c r="E354" s="5"/>
      <c r="F354" s="5"/>
      <c r="G354" s="6" t="s">
        <v>380</v>
      </c>
      <c r="H354" s="6"/>
      <c r="I354" s="7">
        <v>5</v>
      </c>
      <c r="J354" s="15">
        <f>K351+K352+K353</f>
        <v>24.54</v>
      </c>
      <c r="K354" s="15">
        <f>ROUND(I354*J354/100,2)</f>
        <v>1.23</v>
      </c>
    </row>
    <row r="355" customHeight="1" spans="1:11">
      <c r="A355" s="6"/>
      <c r="B355" s="5" t="s">
        <v>354</v>
      </c>
      <c r="C355" s="5" t="s">
        <v>355</v>
      </c>
      <c r="D355" s="5"/>
      <c r="E355" s="5"/>
      <c r="F355" s="5"/>
      <c r="G355" s="6" t="s">
        <v>383</v>
      </c>
      <c r="H355" s="6"/>
      <c r="I355" s="7">
        <v>8.5</v>
      </c>
      <c r="J355" s="15">
        <f>施工机械台时费汇总表!P23</f>
        <v>49.56</v>
      </c>
      <c r="K355" s="15">
        <f t="shared" ref="K355:K362" si="28">ROUND(I355*J355,2)</f>
        <v>421.26</v>
      </c>
    </row>
    <row r="356" customHeight="1" spans="1:11">
      <c r="A356" s="6"/>
      <c r="B356" s="5" t="s">
        <v>357</v>
      </c>
      <c r="C356" s="5" t="s">
        <v>358</v>
      </c>
      <c r="D356" s="5"/>
      <c r="E356" s="5"/>
      <c r="F356" s="5"/>
      <c r="G356" s="6" t="s">
        <v>383</v>
      </c>
      <c r="H356" s="6"/>
      <c r="I356" s="7">
        <v>2</v>
      </c>
      <c r="J356" s="15">
        <f>施工机械台时费汇总表!P24</f>
        <v>11.25</v>
      </c>
      <c r="K356" s="15">
        <f t="shared" si="28"/>
        <v>22.5</v>
      </c>
    </row>
    <row r="357" customHeight="1" spans="1:11">
      <c r="A357" s="6"/>
      <c r="B357" s="5" t="s">
        <v>409</v>
      </c>
      <c r="C357" s="5"/>
      <c r="D357" s="5"/>
      <c r="E357" s="5"/>
      <c r="F357" s="5"/>
      <c r="G357" s="6" t="s">
        <v>380</v>
      </c>
      <c r="H357" s="6"/>
      <c r="I357" s="7">
        <v>5</v>
      </c>
      <c r="J357" s="15">
        <f>K355+K356</f>
        <v>443.76</v>
      </c>
      <c r="K357" s="15">
        <f>ROUND(I357*J357/100,2)</f>
        <v>22.19</v>
      </c>
    </row>
    <row r="358" customHeight="1" spans="1:11">
      <c r="A358" s="6" t="s">
        <v>384</v>
      </c>
      <c r="B358" s="5" t="s">
        <v>385</v>
      </c>
      <c r="C358" s="5"/>
      <c r="D358" s="5"/>
      <c r="E358" s="5"/>
      <c r="F358" s="5"/>
      <c r="G358" s="6" t="s">
        <v>377</v>
      </c>
      <c r="H358" s="6"/>
      <c r="I358" s="7" t="str">
        <f>'工程单价费(税)率汇总表'!D13&amp;"%"</f>
        <v>4.5%</v>
      </c>
      <c r="J358" s="15">
        <f>K336+K339+K350</f>
        <v>2640.16</v>
      </c>
      <c r="K358" s="15">
        <f t="shared" si="28"/>
        <v>118.81</v>
      </c>
    </row>
    <row r="359" customHeight="1" spans="1:11">
      <c r="A359" s="6" t="s">
        <v>386</v>
      </c>
      <c r="B359" s="5" t="s">
        <v>387</v>
      </c>
      <c r="C359" s="5"/>
      <c r="D359" s="5"/>
      <c r="E359" s="5"/>
      <c r="F359" s="5"/>
      <c r="G359" s="6" t="s">
        <v>377</v>
      </c>
      <c r="H359" s="6"/>
      <c r="I359" s="7" t="str">
        <f>'工程单价费(税)率汇总表'!E13&amp;"%"</f>
        <v>6%</v>
      </c>
      <c r="J359" s="15">
        <f>K336+K339+K350</f>
        <v>2640.16</v>
      </c>
      <c r="K359" s="15">
        <f t="shared" si="28"/>
        <v>158.41</v>
      </c>
    </row>
    <row r="360" customHeight="1" spans="1:11">
      <c r="A360" s="6" t="s">
        <v>53</v>
      </c>
      <c r="B360" s="5" t="s">
        <v>388</v>
      </c>
      <c r="C360" s="5"/>
      <c r="D360" s="5"/>
      <c r="E360" s="5"/>
      <c r="F360" s="5"/>
      <c r="G360" s="6" t="s">
        <v>377</v>
      </c>
      <c r="H360" s="6"/>
      <c r="I360" s="7" t="str">
        <f>'工程单价费(税)率汇总表'!F13&amp;"%"</f>
        <v>5.7%</v>
      </c>
      <c r="J360" s="15">
        <f>K335</f>
        <v>2917.38</v>
      </c>
      <c r="K360" s="15">
        <f t="shared" si="28"/>
        <v>166.29</v>
      </c>
    </row>
    <row r="361" customHeight="1" spans="1:11">
      <c r="A361" s="6" t="s">
        <v>55</v>
      </c>
      <c r="B361" s="5" t="s">
        <v>216</v>
      </c>
      <c r="C361" s="5"/>
      <c r="D361" s="5"/>
      <c r="E361" s="5"/>
      <c r="F361" s="5"/>
      <c r="G361" s="6" t="s">
        <v>377</v>
      </c>
      <c r="H361" s="6"/>
      <c r="I361" s="7" t="str">
        <f>'工程单价费(税)率汇总表'!G13&amp;"%"</f>
        <v>32.8%</v>
      </c>
      <c r="J361" s="15">
        <f>K336+ROUND(I351*1.3*3.46,2)+ROUND(I353*1.3*3.46,2)+ROUND(I355*2.7*3.46,2)</f>
        <v>821.74</v>
      </c>
      <c r="K361" s="15">
        <f t="shared" si="28"/>
        <v>269.53</v>
      </c>
    </row>
    <row r="362" customHeight="1" spans="1:11">
      <c r="A362" s="6" t="s">
        <v>57</v>
      </c>
      <c r="B362" s="5" t="s">
        <v>389</v>
      </c>
      <c r="C362" s="5"/>
      <c r="D362" s="5"/>
      <c r="E362" s="5"/>
      <c r="F362" s="5"/>
      <c r="G362" s="6" t="s">
        <v>377</v>
      </c>
      <c r="H362" s="6"/>
      <c r="I362" s="7" t="str">
        <f>'工程单价费(税)率汇总表'!H13&amp;"%"</f>
        <v>7%</v>
      </c>
      <c r="J362" s="15">
        <f>K335+K360+K361</f>
        <v>3353.2</v>
      </c>
      <c r="K362" s="15">
        <f t="shared" si="28"/>
        <v>234.72</v>
      </c>
    </row>
    <row r="363" customHeight="1" spans="1:11">
      <c r="A363" s="6" t="s">
        <v>59</v>
      </c>
      <c r="B363" s="5" t="s">
        <v>207</v>
      </c>
      <c r="C363" s="5"/>
      <c r="D363" s="5"/>
      <c r="E363" s="5"/>
      <c r="F363" s="5"/>
      <c r="G363" s="6" t="s">
        <v>377</v>
      </c>
      <c r="H363" s="6"/>
      <c r="I363" s="7"/>
      <c r="J363" s="7"/>
      <c r="K363" s="15">
        <f>SUM(K364:K374)</f>
        <v>1489.18</v>
      </c>
    </row>
    <row r="364" customHeight="1" spans="1:11">
      <c r="A364" s="6"/>
      <c r="B364" s="5" t="s">
        <v>324</v>
      </c>
      <c r="C364" s="5"/>
      <c r="D364" s="5"/>
      <c r="E364" s="5"/>
      <c r="F364" s="5"/>
      <c r="G364" s="6" t="s">
        <v>378</v>
      </c>
      <c r="H364" s="6"/>
      <c r="I364" s="7">
        <f>I337+I338</f>
        <v>214</v>
      </c>
      <c r="J364" s="15">
        <v>4</v>
      </c>
      <c r="K364" s="15">
        <f>ROUND(I364*J364,2)</f>
        <v>856</v>
      </c>
    </row>
    <row r="365" customHeight="1" spans="1:11">
      <c r="A365" s="6"/>
      <c r="B365" s="5" t="s">
        <v>390</v>
      </c>
      <c r="C365" s="5"/>
      <c r="D365" s="5"/>
      <c r="E365" s="5"/>
      <c r="F365" s="5"/>
      <c r="G365" s="6" t="s">
        <v>378</v>
      </c>
      <c r="H365" s="6"/>
      <c r="I365" s="7">
        <f>I351*1.3+I353*1.3+I355*2.7</f>
        <v>23.496</v>
      </c>
      <c r="J365" s="15">
        <v>4</v>
      </c>
      <c r="K365" s="15">
        <f>ROUND(I365*J365,2)</f>
        <v>93.98</v>
      </c>
    </row>
    <row r="366" ht="7.5" customHeight="1" spans="1:11">
      <c r="A366" s="3"/>
      <c r="B366" s="3"/>
      <c r="C366" s="3"/>
      <c r="D366" s="3"/>
      <c r="E366" s="3"/>
      <c r="F366" s="3"/>
      <c r="G366" s="3"/>
      <c r="H366" s="3"/>
      <c r="I366" s="3"/>
      <c r="J366" s="3"/>
      <c r="K366" s="3"/>
    </row>
    <row r="367" ht="26.25" customHeight="1" spans="1:11">
      <c r="A367" s="2" t="s">
        <v>367</v>
      </c>
      <c r="B367" s="2"/>
      <c r="C367" s="2"/>
      <c r="D367" s="2"/>
      <c r="E367" s="2"/>
      <c r="F367" s="2"/>
      <c r="G367" s="2"/>
      <c r="H367" s="2"/>
      <c r="I367" s="2"/>
      <c r="J367" s="2"/>
      <c r="K367" s="2"/>
    </row>
    <row r="368" customHeight="1" spans="1:11">
      <c r="A368" s="11" t="s">
        <v>415</v>
      </c>
      <c r="B368" s="11"/>
      <c r="C368" s="11"/>
      <c r="D368" s="11"/>
      <c r="E368" s="11"/>
      <c r="F368" s="11"/>
      <c r="G368" s="11"/>
      <c r="H368" s="11"/>
      <c r="I368" s="11"/>
      <c r="J368" s="11"/>
      <c r="K368" s="11"/>
    </row>
    <row r="369" customHeight="1" spans="1:11">
      <c r="A369" s="8" t="s">
        <v>369</v>
      </c>
      <c r="B369" s="3" t="s">
        <v>359</v>
      </c>
      <c r="C369" s="3"/>
      <c r="D369" s="3"/>
      <c r="E369" s="3"/>
      <c r="F369" s="3"/>
      <c r="G369" s="3"/>
      <c r="H369" s="12" t="s">
        <v>411</v>
      </c>
      <c r="I369" s="12"/>
      <c r="J369" s="12"/>
      <c r="K369" s="12"/>
    </row>
    <row r="370" ht="27.75" customHeight="1" spans="1:11">
      <c r="A370" s="13" t="s">
        <v>371</v>
      </c>
      <c r="B370" s="14" t="s">
        <v>416</v>
      </c>
      <c r="C370" s="14"/>
      <c r="D370" s="14"/>
      <c r="E370" s="14"/>
      <c r="F370" s="14"/>
      <c r="G370" s="14"/>
      <c r="H370" s="14"/>
      <c r="I370" s="14"/>
      <c r="J370" s="14"/>
      <c r="K370" s="14"/>
    </row>
    <row r="371" customHeight="1" spans="1:11">
      <c r="A371" s="6" t="s">
        <v>48</v>
      </c>
      <c r="B371" s="6" t="s">
        <v>254</v>
      </c>
      <c r="C371" s="6" t="s">
        <v>255</v>
      </c>
      <c r="D371" s="6"/>
      <c r="E371" s="6"/>
      <c r="F371" s="6"/>
      <c r="G371" s="6" t="s">
        <v>282</v>
      </c>
      <c r="H371" s="6"/>
      <c r="I371" s="6" t="s">
        <v>373</v>
      </c>
      <c r="J371" s="6" t="s">
        <v>374</v>
      </c>
      <c r="K371" s="6" t="s">
        <v>375</v>
      </c>
    </row>
    <row r="372" customHeight="1" spans="1:11">
      <c r="A372" s="6"/>
      <c r="B372" s="5" t="s">
        <v>417</v>
      </c>
      <c r="C372" s="5"/>
      <c r="D372" s="5"/>
      <c r="E372" s="5"/>
      <c r="F372" s="5"/>
      <c r="G372" s="6" t="s">
        <v>285</v>
      </c>
      <c r="H372" s="6"/>
      <c r="I372" s="7">
        <f>I340</f>
        <v>79.57</v>
      </c>
      <c r="J372" s="15">
        <v>1.69</v>
      </c>
      <c r="K372" s="15">
        <f t="shared" ref="K372:K376" si="29">ROUND(I372*J372,2)</f>
        <v>134.47</v>
      </c>
    </row>
    <row r="373" customHeight="1" spans="1:11">
      <c r="A373" s="6"/>
      <c r="B373" s="5" t="s">
        <v>284</v>
      </c>
      <c r="C373" s="5"/>
      <c r="D373" s="5"/>
      <c r="E373" s="5"/>
      <c r="F373" s="5"/>
      <c r="G373" s="6" t="s">
        <v>285</v>
      </c>
      <c r="H373" s="6"/>
      <c r="I373" s="7">
        <f>I341</f>
        <v>42.97</v>
      </c>
      <c r="J373" s="15">
        <v>1.69</v>
      </c>
      <c r="K373" s="15">
        <f t="shared" si="29"/>
        <v>72.62</v>
      </c>
    </row>
    <row r="374" customHeight="1" spans="1:11">
      <c r="A374" s="6"/>
      <c r="B374" s="5" t="s">
        <v>296</v>
      </c>
      <c r="C374" s="5"/>
      <c r="D374" s="5"/>
      <c r="E374" s="5"/>
      <c r="F374" s="5"/>
      <c r="G374" s="6" t="s">
        <v>285</v>
      </c>
      <c r="H374" s="6"/>
      <c r="I374" s="7">
        <f>I351*7.2+I355*5.8</f>
        <v>51.892</v>
      </c>
      <c r="J374" s="15">
        <v>6.4</v>
      </c>
      <c r="K374" s="15">
        <f t="shared" si="29"/>
        <v>332.11</v>
      </c>
    </row>
    <row r="375" customHeight="1" spans="1:11">
      <c r="A375" s="6" t="s">
        <v>227</v>
      </c>
      <c r="B375" s="5" t="s">
        <v>208</v>
      </c>
      <c r="C375" s="5"/>
      <c r="D375" s="5"/>
      <c r="E375" s="5"/>
      <c r="F375" s="5"/>
      <c r="G375" s="6" t="s">
        <v>377</v>
      </c>
      <c r="H375" s="6"/>
      <c r="I375" s="7" t="str">
        <f>'工程单价费(税)率汇总表'!I13&amp;"%"</f>
        <v>0%</v>
      </c>
      <c r="J375" s="15">
        <f>K335+K360+K361+K362+K363</f>
        <v>5077.1</v>
      </c>
      <c r="K375" s="15">
        <f t="shared" si="29"/>
        <v>0</v>
      </c>
    </row>
    <row r="376" customHeight="1" spans="1:11">
      <c r="A376" s="6" t="s">
        <v>223</v>
      </c>
      <c r="B376" s="5" t="s">
        <v>209</v>
      </c>
      <c r="C376" s="5"/>
      <c r="D376" s="5"/>
      <c r="E376" s="5"/>
      <c r="F376" s="5"/>
      <c r="G376" s="6" t="s">
        <v>377</v>
      </c>
      <c r="H376" s="6"/>
      <c r="I376" s="7" t="str">
        <f>'工程单价费(税)率汇总表'!J13&amp;"%"</f>
        <v>9%</v>
      </c>
      <c r="J376" s="15">
        <f>K335+K360+K361+K362+K363+K375</f>
        <v>5077.1</v>
      </c>
      <c r="K376" s="15">
        <f t="shared" si="29"/>
        <v>456.94</v>
      </c>
    </row>
    <row r="377" customHeight="1" spans="1:11">
      <c r="A377" s="6"/>
      <c r="B377" s="5" t="s">
        <v>61</v>
      </c>
      <c r="C377" s="5"/>
      <c r="D377" s="5"/>
      <c r="E377" s="5"/>
      <c r="F377" s="5"/>
      <c r="G377" s="6" t="s">
        <v>377</v>
      </c>
      <c r="H377" s="6"/>
      <c r="I377" s="7"/>
      <c r="J377" s="7"/>
      <c r="K377" s="15">
        <f>K335+K360+K361+K362+K363+K375+K376</f>
        <v>5534.04</v>
      </c>
    </row>
    <row r="378" customHeight="1" spans="1:11">
      <c r="A378" s="6"/>
      <c r="B378" s="5" t="s">
        <v>391</v>
      </c>
      <c r="C378" s="5"/>
      <c r="D378" s="5"/>
      <c r="E378" s="5"/>
      <c r="F378" s="5"/>
      <c r="G378" s="6" t="s">
        <v>377</v>
      </c>
      <c r="H378" s="6"/>
      <c r="I378" s="7"/>
      <c r="J378" s="7"/>
      <c r="K378" s="15">
        <f>ROUND(K377/100,2)</f>
        <v>55.34</v>
      </c>
    </row>
    <row r="379" customHeight="1" spans="1:11">
      <c r="A379" s="6"/>
      <c r="B379" s="5"/>
      <c r="C379" s="5"/>
      <c r="D379" s="5"/>
      <c r="E379" s="5"/>
      <c r="F379" s="5"/>
      <c r="G379" s="6"/>
      <c r="H379" s="6"/>
      <c r="I379" s="7"/>
      <c r="J379" s="7"/>
      <c r="K379" s="7"/>
    </row>
    <row r="380" customHeight="1" spans="1:11">
      <c r="A380" s="6"/>
      <c r="B380" s="5"/>
      <c r="C380" s="5"/>
      <c r="D380" s="5"/>
      <c r="E380" s="5"/>
      <c r="F380" s="5"/>
      <c r="G380" s="6"/>
      <c r="H380" s="6"/>
      <c r="I380" s="7"/>
      <c r="J380" s="7"/>
      <c r="K380" s="7"/>
    </row>
    <row r="381" customHeight="1" spans="1:11">
      <c r="A381" s="6"/>
      <c r="B381" s="5"/>
      <c r="C381" s="5"/>
      <c r="D381" s="5"/>
      <c r="E381" s="5"/>
      <c r="F381" s="5"/>
      <c r="G381" s="6"/>
      <c r="H381" s="6"/>
      <c r="I381" s="7"/>
      <c r="J381" s="7"/>
      <c r="K381" s="7"/>
    </row>
    <row r="382" customHeight="1" spans="1:11">
      <c r="A382" s="6"/>
      <c r="B382" s="5"/>
      <c r="C382" s="5"/>
      <c r="D382" s="5"/>
      <c r="E382" s="5"/>
      <c r="F382" s="5"/>
      <c r="G382" s="6"/>
      <c r="H382" s="6"/>
      <c r="I382" s="7"/>
      <c r="J382" s="7"/>
      <c r="K382" s="7"/>
    </row>
    <row r="383" customHeight="1" spans="1:11">
      <c r="A383" s="6"/>
      <c r="B383" s="5"/>
      <c r="C383" s="5"/>
      <c r="D383" s="5"/>
      <c r="E383" s="5"/>
      <c r="F383" s="5"/>
      <c r="G383" s="6"/>
      <c r="H383" s="6"/>
      <c r="I383" s="7"/>
      <c r="J383" s="7"/>
      <c r="K383" s="7"/>
    </row>
    <row r="384" customHeight="1" spans="1:11">
      <c r="A384" s="6"/>
      <c r="B384" s="5"/>
      <c r="C384" s="5"/>
      <c r="D384" s="5"/>
      <c r="E384" s="5"/>
      <c r="F384" s="5"/>
      <c r="G384" s="6"/>
      <c r="H384" s="6"/>
      <c r="I384" s="7"/>
      <c r="J384" s="7"/>
      <c r="K384" s="7"/>
    </row>
    <row r="385" customHeight="1" spans="1:11">
      <c r="A385" s="6"/>
      <c r="B385" s="5"/>
      <c r="C385" s="5"/>
      <c r="D385" s="5"/>
      <c r="E385" s="5"/>
      <c r="F385" s="5"/>
      <c r="G385" s="6"/>
      <c r="H385" s="6"/>
      <c r="I385" s="7"/>
      <c r="J385" s="7"/>
      <c r="K385" s="7"/>
    </row>
    <row r="386" customHeight="1" spans="1:11">
      <c r="A386" s="6"/>
      <c r="B386" s="5"/>
      <c r="C386" s="5"/>
      <c r="D386" s="5"/>
      <c r="E386" s="5"/>
      <c r="F386" s="5"/>
      <c r="G386" s="6"/>
      <c r="H386" s="6"/>
      <c r="I386" s="7"/>
      <c r="J386" s="7"/>
      <c r="K386" s="7"/>
    </row>
    <row r="387" customHeight="1" spans="1:11">
      <c r="A387" s="6"/>
      <c r="B387" s="5"/>
      <c r="C387" s="5"/>
      <c r="D387" s="5"/>
      <c r="E387" s="5"/>
      <c r="F387" s="5"/>
      <c r="G387" s="6"/>
      <c r="H387" s="6"/>
      <c r="I387" s="7"/>
      <c r="J387" s="7"/>
      <c r="K387" s="7"/>
    </row>
    <row r="388" customHeight="1" spans="1:11">
      <c r="A388" s="6"/>
      <c r="B388" s="5"/>
      <c r="C388" s="5"/>
      <c r="D388" s="5"/>
      <c r="E388" s="5"/>
      <c r="F388" s="5"/>
      <c r="G388" s="6"/>
      <c r="H388" s="6"/>
      <c r="I388" s="7"/>
      <c r="J388" s="7"/>
      <c r="K388" s="7"/>
    </row>
    <row r="389" customHeight="1" spans="1:11">
      <c r="A389" s="6"/>
      <c r="B389" s="5"/>
      <c r="C389" s="5"/>
      <c r="D389" s="5"/>
      <c r="E389" s="5"/>
      <c r="F389" s="5"/>
      <c r="G389" s="6"/>
      <c r="H389" s="6"/>
      <c r="I389" s="7"/>
      <c r="J389" s="7"/>
      <c r="K389" s="7"/>
    </row>
    <row r="390" customHeight="1" spans="1:11">
      <c r="A390" s="6"/>
      <c r="B390" s="5"/>
      <c r="C390" s="5"/>
      <c r="D390" s="5"/>
      <c r="E390" s="5"/>
      <c r="F390" s="5"/>
      <c r="G390" s="6"/>
      <c r="H390" s="6"/>
      <c r="I390" s="7"/>
      <c r="J390" s="7"/>
      <c r="K390" s="7"/>
    </row>
    <row r="391" customHeight="1" spans="1:11">
      <c r="A391" s="6"/>
      <c r="B391" s="5"/>
      <c r="C391" s="5"/>
      <c r="D391" s="5"/>
      <c r="E391" s="5"/>
      <c r="F391" s="5"/>
      <c r="G391" s="6"/>
      <c r="H391" s="6"/>
      <c r="I391" s="7"/>
      <c r="J391" s="7"/>
      <c r="K391" s="7"/>
    </row>
    <row r="392" customHeight="1" spans="1:11">
      <c r="A392" s="6"/>
      <c r="B392" s="5"/>
      <c r="C392" s="5"/>
      <c r="D392" s="5"/>
      <c r="E392" s="5"/>
      <c r="F392" s="5"/>
      <c r="G392" s="6"/>
      <c r="H392" s="6"/>
      <c r="I392" s="7"/>
      <c r="J392" s="7"/>
      <c r="K392" s="7"/>
    </row>
    <row r="393" customHeight="1" spans="1:11">
      <c r="A393" s="6"/>
      <c r="B393" s="5"/>
      <c r="C393" s="5"/>
      <c r="D393" s="5"/>
      <c r="E393" s="5"/>
      <c r="F393" s="5"/>
      <c r="G393" s="6"/>
      <c r="H393" s="6"/>
      <c r="I393" s="7"/>
      <c r="J393" s="7"/>
      <c r="K393" s="7"/>
    </row>
    <row r="394" customHeight="1" spans="1:11">
      <c r="A394" s="6"/>
      <c r="B394" s="5"/>
      <c r="C394" s="5"/>
      <c r="D394" s="5"/>
      <c r="E394" s="5"/>
      <c r="F394" s="5"/>
      <c r="G394" s="6"/>
      <c r="H394" s="6"/>
      <c r="I394" s="7"/>
      <c r="J394" s="7"/>
      <c r="K394" s="7"/>
    </row>
    <row r="395" customHeight="1" spans="1:11">
      <c r="A395" s="6"/>
      <c r="B395" s="5"/>
      <c r="C395" s="5"/>
      <c r="D395" s="5"/>
      <c r="E395" s="5"/>
      <c r="F395" s="5"/>
      <c r="G395" s="6"/>
      <c r="H395" s="6"/>
      <c r="I395" s="7"/>
      <c r="J395" s="7"/>
      <c r="K395" s="7"/>
    </row>
    <row r="396" customHeight="1" spans="1:11">
      <c r="A396" s="6"/>
      <c r="B396" s="5"/>
      <c r="C396" s="5"/>
      <c r="D396" s="5"/>
      <c r="E396" s="5"/>
      <c r="F396" s="5"/>
      <c r="G396" s="6"/>
      <c r="H396" s="6"/>
      <c r="I396" s="7"/>
      <c r="J396" s="7"/>
      <c r="K396" s="7"/>
    </row>
    <row r="397" customHeight="1" spans="1:11">
      <c r="A397" s="6"/>
      <c r="B397" s="5"/>
      <c r="C397" s="5"/>
      <c r="D397" s="5"/>
      <c r="E397" s="5"/>
      <c r="F397" s="5"/>
      <c r="G397" s="6"/>
      <c r="H397" s="6"/>
      <c r="I397" s="7"/>
      <c r="J397" s="7"/>
      <c r="K397" s="7"/>
    </row>
    <row r="398" customHeight="1" spans="1:11">
      <c r="A398" s="6"/>
      <c r="B398" s="5"/>
      <c r="C398" s="5"/>
      <c r="D398" s="5"/>
      <c r="E398" s="5"/>
      <c r="F398" s="5"/>
      <c r="G398" s="6"/>
      <c r="H398" s="6"/>
      <c r="I398" s="7"/>
      <c r="J398" s="7"/>
      <c r="K398" s="7"/>
    </row>
    <row r="399" customHeight="1" spans="1:11">
      <c r="A399" s="6"/>
      <c r="B399" s="5"/>
      <c r="C399" s="5"/>
      <c r="D399" s="5"/>
      <c r="E399" s="5"/>
      <c r="F399" s="5"/>
      <c r="G399" s="6"/>
      <c r="H399" s="6"/>
      <c r="I399" s="7"/>
      <c r="J399" s="7"/>
      <c r="K399" s="7"/>
    </row>
    <row r="400" customHeight="1" spans="1:11">
      <c r="A400" s="6"/>
      <c r="B400" s="5"/>
      <c r="C400" s="5"/>
      <c r="D400" s="5"/>
      <c r="E400" s="5"/>
      <c r="F400" s="5"/>
      <c r="G400" s="6"/>
      <c r="H400" s="6"/>
      <c r="I400" s="7"/>
      <c r="J400" s="7"/>
      <c r="K400" s="7"/>
    </row>
    <row r="401" customHeight="1" spans="1:11">
      <c r="A401" s="6"/>
      <c r="B401" s="5"/>
      <c r="C401" s="5"/>
      <c r="D401" s="5"/>
      <c r="E401" s="5"/>
      <c r="F401" s="5"/>
      <c r="G401" s="6"/>
      <c r="H401" s="6"/>
      <c r="I401" s="7"/>
      <c r="J401" s="7"/>
      <c r="K401" s="7"/>
    </row>
    <row r="402" customHeight="1" spans="1:11">
      <c r="A402" s="6"/>
      <c r="B402" s="5"/>
      <c r="C402" s="5"/>
      <c r="D402" s="5"/>
      <c r="E402" s="5"/>
      <c r="F402" s="5"/>
      <c r="G402" s="6"/>
      <c r="H402" s="6"/>
      <c r="I402" s="7"/>
      <c r="J402" s="7"/>
      <c r="K402" s="7"/>
    </row>
    <row r="403" ht="7.5" customHeight="1" spans="1:11">
      <c r="A403" s="3"/>
      <c r="B403" s="3"/>
      <c r="C403" s="3"/>
      <c r="D403" s="3"/>
      <c r="E403" s="3"/>
      <c r="F403" s="3"/>
      <c r="G403" s="3"/>
      <c r="H403" s="3"/>
      <c r="I403" s="3"/>
      <c r="J403" s="3"/>
      <c r="K403" s="3"/>
    </row>
    <row r="404" ht="26.25" customHeight="1" spans="1:11">
      <c r="A404" s="2" t="s">
        <v>367</v>
      </c>
      <c r="B404" s="2"/>
      <c r="C404" s="2"/>
      <c r="D404" s="2"/>
      <c r="E404" s="2"/>
      <c r="F404" s="2"/>
      <c r="G404" s="2"/>
      <c r="H404" s="2"/>
      <c r="I404" s="2"/>
      <c r="J404" s="2"/>
      <c r="K404" s="2"/>
    </row>
    <row r="405" customHeight="1" spans="1:11">
      <c r="A405" s="11" t="s">
        <v>421</v>
      </c>
      <c r="B405" s="11"/>
      <c r="C405" s="11"/>
      <c r="D405" s="11"/>
      <c r="E405" s="11"/>
      <c r="F405" s="11"/>
      <c r="G405" s="11"/>
      <c r="H405" s="11"/>
      <c r="I405" s="11"/>
      <c r="J405" s="11"/>
      <c r="K405" s="11"/>
    </row>
    <row r="406" customHeight="1" spans="1:11">
      <c r="A406" s="8" t="s">
        <v>369</v>
      </c>
      <c r="B406" s="3" t="s">
        <v>365</v>
      </c>
      <c r="C406" s="3"/>
      <c r="D406" s="3"/>
      <c r="E406" s="3"/>
      <c r="F406" s="3"/>
      <c r="G406" s="3"/>
      <c r="H406" s="12" t="s">
        <v>393</v>
      </c>
      <c r="I406" s="12"/>
      <c r="J406" s="12"/>
      <c r="K406" s="12"/>
    </row>
    <row r="407" ht="27.75" customHeight="1" spans="1:11">
      <c r="A407" s="13" t="s">
        <v>371</v>
      </c>
      <c r="B407" s="14" t="s">
        <v>422</v>
      </c>
      <c r="C407" s="14"/>
      <c r="D407" s="14"/>
      <c r="E407" s="14"/>
      <c r="F407" s="14"/>
      <c r="G407" s="14"/>
      <c r="H407" s="14"/>
      <c r="I407" s="14"/>
      <c r="J407" s="14"/>
      <c r="K407" s="14"/>
    </row>
    <row r="408" customHeight="1" spans="1:11">
      <c r="A408" s="6" t="s">
        <v>48</v>
      </c>
      <c r="B408" s="6" t="s">
        <v>254</v>
      </c>
      <c r="C408" s="6" t="s">
        <v>255</v>
      </c>
      <c r="D408" s="6"/>
      <c r="E408" s="6"/>
      <c r="F408" s="6"/>
      <c r="G408" s="6" t="s">
        <v>282</v>
      </c>
      <c r="H408" s="6"/>
      <c r="I408" s="6" t="s">
        <v>373</v>
      </c>
      <c r="J408" s="6" t="s">
        <v>374</v>
      </c>
      <c r="K408" s="6" t="s">
        <v>375</v>
      </c>
    </row>
    <row r="409" customHeight="1" spans="1:11">
      <c r="A409" s="6" t="s">
        <v>51</v>
      </c>
      <c r="B409" s="5" t="s">
        <v>376</v>
      </c>
      <c r="C409" s="5"/>
      <c r="D409" s="5"/>
      <c r="E409" s="5"/>
      <c r="F409" s="5"/>
      <c r="G409" s="6" t="s">
        <v>377</v>
      </c>
      <c r="H409" s="6"/>
      <c r="I409" s="7"/>
      <c r="J409" s="7"/>
      <c r="K409" s="15">
        <f>K410+K412+K414+K421+K422</f>
        <v>272.34</v>
      </c>
    </row>
    <row r="410" customHeight="1" spans="1:11">
      <c r="A410" s="6" t="s">
        <v>72</v>
      </c>
      <c r="B410" s="5" t="s">
        <v>199</v>
      </c>
      <c r="C410" s="5"/>
      <c r="D410" s="5"/>
      <c r="E410" s="5"/>
      <c r="F410" s="5"/>
      <c r="G410" s="6" t="s">
        <v>377</v>
      </c>
      <c r="H410" s="6"/>
      <c r="I410" s="7"/>
      <c r="J410" s="7"/>
      <c r="K410" s="15">
        <f>SUM(K411:K411)</f>
        <v>75.77</v>
      </c>
    </row>
    <row r="411" customHeight="1" spans="1:11">
      <c r="A411" s="6"/>
      <c r="B411" s="5" t="s">
        <v>324</v>
      </c>
      <c r="C411" s="5"/>
      <c r="D411" s="5"/>
      <c r="E411" s="5"/>
      <c r="F411" s="5"/>
      <c r="G411" s="6" t="s">
        <v>378</v>
      </c>
      <c r="H411" s="6"/>
      <c r="I411" s="7">
        <v>21.9</v>
      </c>
      <c r="J411" s="15">
        <v>3.46</v>
      </c>
      <c r="K411" s="15">
        <f t="shared" ref="K411:K419" si="30">ROUND(I411*J411,2)</f>
        <v>75.77</v>
      </c>
    </row>
    <row r="412" customHeight="1" spans="1:11">
      <c r="A412" s="6" t="s">
        <v>131</v>
      </c>
      <c r="B412" s="5" t="s">
        <v>200</v>
      </c>
      <c r="C412" s="5"/>
      <c r="D412" s="5"/>
      <c r="E412" s="5"/>
      <c r="F412" s="5"/>
      <c r="G412" s="6" t="s">
        <v>377</v>
      </c>
      <c r="H412" s="6"/>
      <c r="I412" s="7"/>
      <c r="J412" s="7"/>
      <c r="K412" s="15">
        <f>SUM(K413:K413)</f>
        <v>22.41</v>
      </c>
    </row>
    <row r="413" customHeight="1" spans="1:11">
      <c r="A413" s="6"/>
      <c r="B413" s="5" t="s">
        <v>379</v>
      </c>
      <c r="C413" s="5"/>
      <c r="D413" s="5"/>
      <c r="E413" s="5"/>
      <c r="F413" s="5"/>
      <c r="G413" s="6" t="s">
        <v>380</v>
      </c>
      <c r="H413" s="6"/>
      <c r="I413" s="7">
        <v>10</v>
      </c>
      <c r="J413" s="15">
        <f>K411+K415+K416+K417+K418+K419+K420</f>
        <v>224.05</v>
      </c>
      <c r="K413" s="15">
        <f>ROUND(I413*J413/100,2)</f>
        <v>22.41</v>
      </c>
    </row>
    <row r="414" customHeight="1" spans="1:11">
      <c r="A414" s="6" t="s">
        <v>381</v>
      </c>
      <c r="B414" s="5" t="s">
        <v>382</v>
      </c>
      <c r="C414" s="5"/>
      <c r="D414" s="5"/>
      <c r="E414" s="5"/>
      <c r="F414" s="5"/>
      <c r="G414" s="6" t="s">
        <v>377</v>
      </c>
      <c r="H414" s="6"/>
      <c r="I414" s="7"/>
      <c r="J414" s="7"/>
      <c r="K414" s="15">
        <f>SUM(K415:K420)</f>
        <v>148.28</v>
      </c>
    </row>
    <row r="415" customHeight="1" spans="1:11">
      <c r="A415" s="6"/>
      <c r="B415" s="5" t="s">
        <v>327</v>
      </c>
      <c r="C415" s="5" t="s">
        <v>330</v>
      </c>
      <c r="D415" s="5"/>
      <c r="E415" s="5"/>
      <c r="F415" s="5"/>
      <c r="G415" s="6" t="s">
        <v>383</v>
      </c>
      <c r="H415" s="6"/>
      <c r="I415" s="7">
        <v>0.5</v>
      </c>
      <c r="J415" s="15">
        <f>施工机械台时费汇总表!P11</f>
        <v>78.7</v>
      </c>
      <c r="K415" s="15">
        <f t="shared" si="30"/>
        <v>39.35</v>
      </c>
    </row>
    <row r="416" customHeight="1" spans="1:11">
      <c r="A416" s="6"/>
      <c r="B416" s="5" t="s">
        <v>331</v>
      </c>
      <c r="C416" s="5" t="s">
        <v>332</v>
      </c>
      <c r="D416" s="5"/>
      <c r="E416" s="5"/>
      <c r="F416" s="5"/>
      <c r="G416" s="6" t="s">
        <v>383</v>
      </c>
      <c r="H416" s="6"/>
      <c r="I416" s="7">
        <v>1.66</v>
      </c>
      <c r="J416" s="15">
        <f>施工机械台时费汇总表!P12</f>
        <v>43.69</v>
      </c>
      <c r="K416" s="15">
        <f t="shared" si="30"/>
        <v>72.53</v>
      </c>
    </row>
    <row r="417" customHeight="1" spans="1:11">
      <c r="A417" s="6"/>
      <c r="B417" s="5" t="s">
        <v>333</v>
      </c>
      <c r="C417" s="5" t="s">
        <v>334</v>
      </c>
      <c r="D417" s="5"/>
      <c r="E417" s="5"/>
      <c r="F417" s="5"/>
      <c r="G417" s="6" t="s">
        <v>383</v>
      </c>
      <c r="H417" s="6"/>
      <c r="I417" s="7">
        <v>1.66</v>
      </c>
      <c r="J417" s="15">
        <f>施工机械台时费汇总表!P13</f>
        <v>2.09</v>
      </c>
      <c r="K417" s="15">
        <f t="shared" si="30"/>
        <v>3.47</v>
      </c>
    </row>
    <row r="418" customHeight="1" spans="1:11">
      <c r="A418" s="6"/>
      <c r="B418" s="5" t="s">
        <v>335</v>
      </c>
      <c r="C418" s="5"/>
      <c r="D418" s="5"/>
      <c r="E418" s="5"/>
      <c r="F418" s="5"/>
      <c r="G418" s="6" t="s">
        <v>383</v>
      </c>
      <c r="H418" s="6"/>
      <c r="I418" s="7">
        <v>0.5</v>
      </c>
      <c r="J418" s="15">
        <f>施工机械台时费汇总表!P14</f>
        <v>40.37</v>
      </c>
      <c r="K418" s="15">
        <f t="shared" si="30"/>
        <v>20.19</v>
      </c>
    </row>
    <row r="419" customHeight="1" spans="1:11">
      <c r="A419" s="6"/>
      <c r="B419" s="5" t="s">
        <v>336</v>
      </c>
      <c r="C419" s="5" t="s">
        <v>337</v>
      </c>
      <c r="D419" s="5"/>
      <c r="E419" s="5"/>
      <c r="F419" s="5"/>
      <c r="G419" s="6" t="s">
        <v>383</v>
      </c>
      <c r="H419" s="6"/>
      <c r="I419" s="7">
        <v>1</v>
      </c>
      <c r="J419" s="15">
        <f>施工机械台时费汇总表!P15</f>
        <v>9.83</v>
      </c>
      <c r="K419" s="15">
        <f t="shared" si="30"/>
        <v>9.83</v>
      </c>
    </row>
    <row r="420" customHeight="1" spans="1:11">
      <c r="A420" s="6"/>
      <c r="B420" s="5" t="s">
        <v>409</v>
      </c>
      <c r="C420" s="5"/>
      <c r="D420" s="5"/>
      <c r="E420" s="5"/>
      <c r="F420" s="5"/>
      <c r="G420" s="6" t="s">
        <v>380</v>
      </c>
      <c r="H420" s="6"/>
      <c r="I420" s="7">
        <v>2</v>
      </c>
      <c r="J420" s="15">
        <f>K415+K416+K417+K418+K419</f>
        <v>145.37</v>
      </c>
      <c r="K420" s="15">
        <f>ROUND(I420*J420/100,2)</f>
        <v>2.91</v>
      </c>
    </row>
    <row r="421" customHeight="1" spans="1:11">
      <c r="A421" s="6" t="s">
        <v>384</v>
      </c>
      <c r="B421" s="5" t="s">
        <v>385</v>
      </c>
      <c r="C421" s="5"/>
      <c r="D421" s="5"/>
      <c r="E421" s="5"/>
      <c r="F421" s="5"/>
      <c r="G421" s="6" t="s">
        <v>377</v>
      </c>
      <c r="H421" s="6"/>
      <c r="I421" s="7" t="str">
        <f>'工程单价费(税)率汇总表'!D10&amp;"%"</f>
        <v>4.5%</v>
      </c>
      <c r="J421" s="15">
        <f>K410+K412+K414</f>
        <v>246.46</v>
      </c>
      <c r="K421" s="15">
        <f t="shared" ref="K421:K425" si="31">ROUND(I421*J421,2)</f>
        <v>11.09</v>
      </c>
    </row>
    <row r="422" customHeight="1" spans="1:11">
      <c r="A422" s="6" t="s">
        <v>386</v>
      </c>
      <c r="B422" s="5" t="s">
        <v>387</v>
      </c>
      <c r="C422" s="5"/>
      <c r="D422" s="5"/>
      <c r="E422" s="5"/>
      <c r="F422" s="5"/>
      <c r="G422" s="6" t="s">
        <v>377</v>
      </c>
      <c r="H422" s="6"/>
      <c r="I422" s="7" t="str">
        <f>'工程单价费(税)率汇总表'!E10&amp;"%"</f>
        <v>6%</v>
      </c>
      <c r="J422" s="15">
        <f>K410+K412+K414</f>
        <v>246.46</v>
      </c>
      <c r="K422" s="15">
        <f t="shared" si="31"/>
        <v>14.79</v>
      </c>
    </row>
    <row r="423" customHeight="1" spans="1:11">
      <c r="A423" s="6" t="s">
        <v>53</v>
      </c>
      <c r="B423" s="5" t="s">
        <v>388</v>
      </c>
      <c r="C423" s="5"/>
      <c r="D423" s="5"/>
      <c r="E423" s="5"/>
      <c r="F423" s="5"/>
      <c r="G423" s="6" t="s">
        <v>377</v>
      </c>
      <c r="H423" s="6"/>
      <c r="I423" s="7" t="str">
        <f>'工程单价费(税)率汇总表'!F10&amp;"%"</f>
        <v>5.8%</v>
      </c>
      <c r="J423" s="15">
        <f>K409</f>
        <v>272.34</v>
      </c>
      <c r="K423" s="15">
        <f t="shared" si="31"/>
        <v>15.8</v>
      </c>
    </row>
    <row r="424" customHeight="1" spans="1:11">
      <c r="A424" s="6" t="s">
        <v>55</v>
      </c>
      <c r="B424" s="5" t="s">
        <v>216</v>
      </c>
      <c r="C424" s="5"/>
      <c r="D424" s="5"/>
      <c r="E424" s="5"/>
      <c r="F424" s="5"/>
      <c r="G424" s="6" t="s">
        <v>377</v>
      </c>
      <c r="H424" s="6"/>
      <c r="I424" s="7" t="str">
        <f>'工程单价费(税)率汇总表'!G10&amp;"%"</f>
        <v>32.8%</v>
      </c>
      <c r="J424" s="15">
        <f>K410+ROUND(I415*2.4*3.46,2)+ROUND(I416*2.4*3.46,2)+ROUND(I418*2.4*3.46,2)+ROUND(I419*2*3.46,2)</f>
        <v>104.77</v>
      </c>
      <c r="K424" s="15">
        <f t="shared" si="31"/>
        <v>34.36</v>
      </c>
    </row>
    <row r="425" customHeight="1" spans="1:11">
      <c r="A425" s="6" t="s">
        <v>57</v>
      </c>
      <c r="B425" s="5" t="s">
        <v>389</v>
      </c>
      <c r="C425" s="5"/>
      <c r="D425" s="5"/>
      <c r="E425" s="5"/>
      <c r="F425" s="5"/>
      <c r="G425" s="6" t="s">
        <v>377</v>
      </c>
      <c r="H425" s="6"/>
      <c r="I425" s="7" t="str">
        <f>'工程单价费(税)率汇总表'!H10&amp;"%"</f>
        <v>7%</v>
      </c>
      <c r="J425" s="15">
        <f>K409+K423+K424</f>
        <v>322.5</v>
      </c>
      <c r="K425" s="15">
        <f t="shared" si="31"/>
        <v>22.58</v>
      </c>
    </row>
    <row r="426" customHeight="1" spans="1:11">
      <c r="A426" s="6" t="s">
        <v>59</v>
      </c>
      <c r="B426" s="5" t="s">
        <v>207</v>
      </c>
      <c r="C426" s="5"/>
      <c r="D426" s="5"/>
      <c r="E426" s="5"/>
      <c r="F426" s="5"/>
      <c r="G426" s="6" t="s">
        <v>377</v>
      </c>
      <c r="H426" s="6"/>
      <c r="I426" s="7"/>
      <c r="J426" s="7"/>
      <c r="K426" s="15">
        <f>SUM(K427:K429)</f>
        <v>220.43</v>
      </c>
    </row>
    <row r="427" customHeight="1" spans="1:11">
      <c r="A427" s="6"/>
      <c r="B427" s="5" t="s">
        <v>324</v>
      </c>
      <c r="C427" s="5"/>
      <c r="D427" s="5"/>
      <c r="E427" s="5"/>
      <c r="F427" s="5"/>
      <c r="G427" s="6" t="s">
        <v>378</v>
      </c>
      <c r="H427" s="6"/>
      <c r="I427" s="7">
        <f>I411</f>
        <v>21.9</v>
      </c>
      <c r="J427" s="15">
        <v>4</v>
      </c>
      <c r="K427" s="15">
        <f t="shared" ref="K427:K431" si="32">ROUND(I427*J427,2)</f>
        <v>87.6</v>
      </c>
    </row>
    <row r="428" customHeight="1" spans="1:11">
      <c r="A428" s="6"/>
      <c r="B428" s="5" t="s">
        <v>390</v>
      </c>
      <c r="C428" s="5"/>
      <c r="D428" s="5"/>
      <c r="E428" s="5"/>
      <c r="F428" s="5"/>
      <c r="G428" s="6" t="s">
        <v>378</v>
      </c>
      <c r="H428" s="6"/>
      <c r="I428" s="7">
        <f>I415*2.4+I416*2.4+I418*2.4+I419*2</f>
        <v>8.384</v>
      </c>
      <c r="J428" s="15">
        <v>4</v>
      </c>
      <c r="K428" s="15">
        <f t="shared" si="32"/>
        <v>33.54</v>
      </c>
    </row>
    <row r="429" customHeight="1" spans="1:11">
      <c r="A429" s="6"/>
      <c r="B429" s="5" t="s">
        <v>293</v>
      </c>
      <c r="C429" s="5" t="s">
        <v>294</v>
      </c>
      <c r="D429" s="5"/>
      <c r="E429" s="5"/>
      <c r="F429" s="5"/>
      <c r="G429" s="6" t="s">
        <v>285</v>
      </c>
      <c r="H429" s="6"/>
      <c r="I429" s="7">
        <f>I415*10.6+I416*7.9+I418*7.4</f>
        <v>22.114</v>
      </c>
      <c r="J429" s="15">
        <v>4.49</v>
      </c>
      <c r="K429" s="15">
        <f t="shared" si="32"/>
        <v>99.29</v>
      </c>
    </row>
    <row r="430" customHeight="1" spans="1:11">
      <c r="A430" s="6" t="s">
        <v>227</v>
      </c>
      <c r="B430" s="5" t="s">
        <v>208</v>
      </c>
      <c r="C430" s="5"/>
      <c r="D430" s="5"/>
      <c r="E430" s="5"/>
      <c r="F430" s="5"/>
      <c r="G430" s="6" t="s">
        <v>377</v>
      </c>
      <c r="H430" s="6"/>
      <c r="I430" s="7" t="str">
        <f>'工程单价费(税)率汇总表'!I10&amp;"%"</f>
        <v>0%</v>
      </c>
      <c r="J430" s="15">
        <f>K409+K423+K424+K425+K426</f>
        <v>565.51</v>
      </c>
      <c r="K430" s="15">
        <f t="shared" si="32"/>
        <v>0</v>
      </c>
    </row>
    <row r="431" customHeight="1" spans="1:11">
      <c r="A431" s="6" t="s">
        <v>223</v>
      </c>
      <c r="B431" s="5" t="s">
        <v>209</v>
      </c>
      <c r="C431" s="5"/>
      <c r="D431" s="5"/>
      <c r="E431" s="5"/>
      <c r="F431" s="5"/>
      <c r="G431" s="6" t="s">
        <v>377</v>
      </c>
      <c r="H431" s="6"/>
      <c r="I431" s="7" t="str">
        <f>'工程单价费(税)率汇总表'!J10&amp;"%"</f>
        <v>9%</v>
      </c>
      <c r="J431" s="15">
        <f>K409+K423+K424+K425+K426+K430</f>
        <v>565.51</v>
      </c>
      <c r="K431" s="15">
        <f t="shared" si="32"/>
        <v>50.9</v>
      </c>
    </row>
    <row r="432" customHeight="1" spans="1:11">
      <c r="A432" s="6"/>
      <c r="B432" s="5" t="s">
        <v>61</v>
      </c>
      <c r="C432" s="5"/>
      <c r="D432" s="5"/>
      <c r="E432" s="5"/>
      <c r="F432" s="5"/>
      <c r="G432" s="6" t="s">
        <v>377</v>
      </c>
      <c r="H432" s="6"/>
      <c r="I432" s="7"/>
      <c r="J432" s="7"/>
      <c r="K432" s="15">
        <f>K409+K423+K424+K425+K426+K430+K431</f>
        <v>616.41</v>
      </c>
    </row>
    <row r="433" customHeight="1" spans="1:11">
      <c r="A433" s="6"/>
      <c r="B433" s="5" t="s">
        <v>391</v>
      </c>
      <c r="C433" s="5"/>
      <c r="D433" s="5"/>
      <c r="E433" s="5"/>
      <c r="F433" s="5"/>
      <c r="G433" s="6" t="s">
        <v>377</v>
      </c>
      <c r="H433" s="6"/>
      <c r="I433" s="7"/>
      <c r="J433" s="7"/>
      <c r="K433" s="15">
        <f>ROUND(K432/100,2)</f>
        <v>6.16</v>
      </c>
    </row>
    <row r="434" customHeight="1" spans="1:11">
      <c r="A434" s="6"/>
      <c r="B434" s="5"/>
      <c r="C434" s="5"/>
      <c r="D434" s="5"/>
      <c r="E434" s="5"/>
      <c r="F434" s="5"/>
      <c r="G434" s="6"/>
      <c r="H434" s="6"/>
      <c r="I434" s="7"/>
      <c r="J434" s="7"/>
      <c r="K434" s="7"/>
    </row>
    <row r="435" customHeight="1" spans="1:11">
      <c r="A435" s="6"/>
      <c r="B435" s="5"/>
      <c r="C435" s="5"/>
      <c r="D435" s="5"/>
      <c r="E435" s="5"/>
      <c r="F435" s="5"/>
      <c r="G435" s="6"/>
      <c r="H435" s="6"/>
      <c r="I435" s="7"/>
      <c r="J435" s="7"/>
      <c r="K435" s="7"/>
    </row>
    <row r="436" customHeight="1" spans="1:11">
      <c r="A436" s="6"/>
      <c r="B436" s="5"/>
      <c r="C436" s="5"/>
      <c r="D436" s="5"/>
      <c r="E436" s="5"/>
      <c r="F436" s="5"/>
      <c r="G436" s="6"/>
      <c r="H436" s="6"/>
      <c r="I436" s="7"/>
      <c r="J436" s="7"/>
      <c r="K436" s="7"/>
    </row>
    <row r="437" customHeight="1" spans="1:11">
      <c r="A437" s="6"/>
      <c r="B437" s="5"/>
      <c r="C437" s="5"/>
      <c r="D437" s="5"/>
      <c r="E437" s="5"/>
      <c r="F437" s="5"/>
      <c r="G437" s="6"/>
      <c r="H437" s="6"/>
      <c r="I437" s="7"/>
      <c r="J437" s="7"/>
      <c r="K437" s="7"/>
    </row>
    <row r="438" customHeight="1" spans="1:11">
      <c r="A438" s="6"/>
      <c r="B438" s="5"/>
      <c r="C438" s="5"/>
      <c r="D438" s="5"/>
      <c r="E438" s="5"/>
      <c r="F438" s="5"/>
      <c r="G438" s="6"/>
      <c r="H438" s="6"/>
      <c r="I438" s="7"/>
      <c r="J438" s="7"/>
      <c r="K438" s="7"/>
    </row>
    <row r="439" customHeight="1" spans="1:11">
      <c r="A439" s="6"/>
      <c r="B439" s="5"/>
      <c r="C439" s="5"/>
      <c r="D439" s="5"/>
      <c r="E439" s="5"/>
      <c r="F439" s="5"/>
      <c r="G439" s="6"/>
      <c r="H439" s="6"/>
      <c r="I439" s="7"/>
      <c r="J439" s="7"/>
      <c r="K439" s="7"/>
    </row>
    <row r="440" ht="7.5" customHeight="1" spans="1:11">
      <c r="A440" s="3"/>
      <c r="B440" s="3"/>
      <c r="C440" s="3"/>
      <c r="D440" s="3"/>
      <c r="E440" s="3"/>
      <c r="F440" s="3"/>
      <c r="G440" s="3"/>
      <c r="H440" s="3"/>
      <c r="I440" s="3"/>
      <c r="J440" s="3"/>
      <c r="K440" s="3"/>
    </row>
    <row r="441" ht="26.25" customHeight="1" spans="1:11">
      <c r="A441" s="2" t="s">
        <v>367</v>
      </c>
      <c r="B441" s="2"/>
      <c r="C441" s="2"/>
      <c r="D441" s="2"/>
      <c r="E441" s="2"/>
      <c r="F441" s="2"/>
      <c r="G441" s="2"/>
      <c r="H441" s="2"/>
      <c r="I441" s="2"/>
      <c r="J441" s="2"/>
      <c r="K441" s="2"/>
    </row>
    <row r="442" customHeight="1" spans="1:11">
      <c r="A442" s="11" t="s">
        <v>423</v>
      </c>
      <c r="B442" s="11"/>
      <c r="C442" s="11"/>
      <c r="D442" s="11"/>
      <c r="E442" s="11"/>
      <c r="F442" s="11"/>
      <c r="G442" s="11"/>
      <c r="H442" s="11"/>
      <c r="I442" s="11"/>
      <c r="J442" s="11"/>
      <c r="K442" s="11"/>
    </row>
    <row r="443" customHeight="1" spans="1:11">
      <c r="A443" s="8" t="s">
        <v>369</v>
      </c>
      <c r="B443" s="3" t="s">
        <v>424</v>
      </c>
      <c r="C443" s="3"/>
      <c r="D443" s="3"/>
      <c r="E443" s="3"/>
      <c r="F443" s="3"/>
      <c r="G443" s="3"/>
      <c r="H443" s="12" t="s">
        <v>411</v>
      </c>
      <c r="I443" s="12"/>
      <c r="J443" s="12"/>
      <c r="K443" s="12"/>
    </row>
    <row r="444" ht="27.75" customHeight="1" spans="1:11">
      <c r="A444" s="13" t="s">
        <v>371</v>
      </c>
      <c r="B444" s="14" t="s">
        <v>425</v>
      </c>
      <c r="C444" s="14"/>
      <c r="D444" s="14"/>
      <c r="E444" s="14"/>
      <c r="F444" s="14"/>
      <c r="G444" s="14"/>
      <c r="H444" s="14"/>
      <c r="I444" s="14"/>
      <c r="J444" s="14"/>
      <c r="K444" s="14"/>
    </row>
    <row r="445" customHeight="1" spans="1:11">
      <c r="A445" s="6" t="s">
        <v>48</v>
      </c>
      <c r="B445" s="6" t="s">
        <v>254</v>
      </c>
      <c r="C445" s="6" t="s">
        <v>255</v>
      </c>
      <c r="D445" s="6"/>
      <c r="E445" s="6"/>
      <c r="F445" s="6"/>
      <c r="G445" s="6" t="s">
        <v>282</v>
      </c>
      <c r="H445" s="6"/>
      <c r="I445" s="6" t="s">
        <v>373</v>
      </c>
      <c r="J445" s="6" t="s">
        <v>374</v>
      </c>
      <c r="K445" s="6" t="s">
        <v>375</v>
      </c>
    </row>
    <row r="446" customHeight="1" spans="1:11">
      <c r="A446" s="6" t="s">
        <v>51</v>
      </c>
      <c r="B446" s="5" t="s">
        <v>376</v>
      </c>
      <c r="C446" s="5"/>
      <c r="D446" s="5"/>
      <c r="E446" s="5"/>
      <c r="F446" s="5"/>
      <c r="G446" s="6" t="s">
        <v>377</v>
      </c>
      <c r="H446" s="6"/>
      <c r="I446" s="7"/>
      <c r="J446" s="7"/>
      <c r="K446" s="15">
        <f>K447+K449+K452+K453+K454</f>
        <v>281.01</v>
      </c>
    </row>
    <row r="447" customHeight="1" spans="1:11">
      <c r="A447" s="6" t="s">
        <v>72</v>
      </c>
      <c r="B447" s="5" t="s">
        <v>199</v>
      </c>
      <c r="C447" s="5"/>
      <c r="D447" s="5"/>
      <c r="E447" s="5"/>
      <c r="F447" s="5"/>
      <c r="G447" s="6" t="s">
        <v>377</v>
      </c>
      <c r="H447" s="6"/>
      <c r="I447" s="7"/>
      <c r="J447" s="7"/>
      <c r="K447" s="15">
        <f>SUM(K448:K448)</f>
        <v>28.37</v>
      </c>
    </row>
    <row r="448" customHeight="1" spans="1:11">
      <c r="A448" s="6"/>
      <c r="B448" s="5" t="s">
        <v>324</v>
      </c>
      <c r="C448" s="5"/>
      <c r="D448" s="5"/>
      <c r="E448" s="5"/>
      <c r="F448" s="5"/>
      <c r="G448" s="6" t="s">
        <v>378</v>
      </c>
      <c r="H448" s="6"/>
      <c r="I448" s="7">
        <v>8.2</v>
      </c>
      <c r="J448" s="15">
        <v>3.46</v>
      </c>
      <c r="K448" s="15">
        <f t="shared" ref="K448:K457" si="33">ROUND(I448*J448,2)</f>
        <v>28.37</v>
      </c>
    </row>
    <row r="449" customHeight="1" spans="1:11">
      <c r="A449" s="6" t="s">
        <v>131</v>
      </c>
      <c r="B449" s="5" t="s">
        <v>200</v>
      </c>
      <c r="C449" s="5"/>
      <c r="D449" s="5"/>
      <c r="E449" s="5"/>
      <c r="F449" s="5"/>
      <c r="G449" s="6" t="s">
        <v>377</v>
      </c>
      <c r="H449" s="6"/>
      <c r="I449" s="7"/>
      <c r="J449" s="7"/>
      <c r="K449" s="15">
        <f>SUM(K450:K451)</f>
        <v>228.26</v>
      </c>
    </row>
    <row r="450" customHeight="1" spans="1:11">
      <c r="A450" s="6"/>
      <c r="B450" s="5" t="s">
        <v>426</v>
      </c>
      <c r="C450" s="5"/>
      <c r="D450" s="5"/>
      <c r="E450" s="5"/>
      <c r="F450" s="5"/>
      <c r="G450" s="6" t="s">
        <v>77</v>
      </c>
      <c r="H450" s="6"/>
      <c r="I450" s="7">
        <v>113</v>
      </c>
      <c r="J450" s="15">
        <v>2</v>
      </c>
      <c r="K450" s="15">
        <f t="shared" si="33"/>
        <v>226</v>
      </c>
    </row>
    <row r="451" customHeight="1" spans="1:11">
      <c r="A451" s="6"/>
      <c r="B451" s="5" t="s">
        <v>403</v>
      </c>
      <c r="C451" s="5"/>
      <c r="D451" s="5"/>
      <c r="E451" s="5"/>
      <c r="F451" s="5"/>
      <c r="G451" s="6" t="s">
        <v>380</v>
      </c>
      <c r="H451" s="6"/>
      <c r="I451" s="7">
        <v>1</v>
      </c>
      <c r="J451" s="15">
        <f>K450</f>
        <v>226</v>
      </c>
      <c r="K451" s="15">
        <f>ROUND(I451*J451/100,2)</f>
        <v>2.26</v>
      </c>
    </row>
    <row r="452" customHeight="1" spans="1:11">
      <c r="A452" s="6" t="s">
        <v>381</v>
      </c>
      <c r="B452" s="5" t="s">
        <v>382</v>
      </c>
      <c r="C452" s="5"/>
      <c r="D452" s="5"/>
      <c r="E452" s="5"/>
      <c r="F452" s="5"/>
      <c r="G452" s="6" t="s">
        <v>377</v>
      </c>
      <c r="H452" s="6"/>
      <c r="I452" s="7"/>
      <c r="J452" s="7"/>
      <c r="K452" s="15">
        <v>0</v>
      </c>
    </row>
    <row r="453" customHeight="1" spans="1:11">
      <c r="A453" s="6" t="s">
        <v>384</v>
      </c>
      <c r="B453" s="5" t="s">
        <v>385</v>
      </c>
      <c r="C453" s="5"/>
      <c r="D453" s="5"/>
      <c r="E453" s="5"/>
      <c r="F453" s="5"/>
      <c r="G453" s="6" t="s">
        <v>377</v>
      </c>
      <c r="H453" s="6"/>
      <c r="I453" s="7" t="str">
        <f>'工程单价费(税)率汇总表'!D18&amp;"%"</f>
        <v>4.5%</v>
      </c>
      <c r="J453" s="15">
        <f>K447+K449+K452</f>
        <v>256.63</v>
      </c>
      <c r="K453" s="15">
        <f t="shared" si="33"/>
        <v>11.55</v>
      </c>
    </row>
    <row r="454" customHeight="1" spans="1:11">
      <c r="A454" s="6" t="s">
        <v>386</v>
      </c>
      <c r="B454" s="5" t="s">
        <v>387</v>
      </c>
      <c r="C454" s="5"/>
      <c r="D454" s="5"/>
      <c r="E454" s="5"/>
      <c r="F454" s="5"/>
      <c r="G454" s="6" t="s">
        <v>377</v>
      </c>
      <c r="H454" s="6"/>
      <c r="I454" s="7" t="str">
        <f>'工程单价费(税)率汇总表'!E18&amp;"%"</f>
        <v>5%</v>
      </c>
      <c r="J454" s="15">
        <f>K447+K449+K452</f>
        <v>256.63</v>
      </c>
      <c r="K454" s="15">
        <f t="shared" si="33"/>
        <v>12.83</v>
      </c>
    </row>
    <row r="455" customHeight="1" spans="1:11">
      <c r="A455" s="6" t="s">
        <v>53</v>
      </c>
      <c r="B455" s="5" t="s">
        <v>388</v>
      </c>
      <c r="C455" s="5"/>
      <c r="D455" s="5"/>
      <c r="E455" s="5"/>
      <c r="F455" s="5"/>
      <c r="G455" s="6" t="s">
        <v>377</v>
      </c>
      <c r="H455" s="6"/>
      <c r="I455" s="7" t="str">
        <f>'工程单价费(税)率汇总表'!F18&amp;"%"</f>
        <v>4.8%</v>
      </c>
      <c r="J455" s="15">
        <f>K446</f>
        <v>281.01</v>
      </c>
      <c r="K455" s="15">
        <f t="shared" si="33"/>
        <v>13.49</v>
      </c>
    </row>
    <row r="456" customHeight="1" spans="1:11">
      <c r="A456" s="6" t="s">
        <v>55</v>
      </c>
      <c r="B456" s="5" t="s">
        <v>216</v>
      </c>
      <c r="C456" s="5"/>
      <c r="D456" s="5"/>
      <c r="E456" s="5"/>
      <c r="F456" s="5"/>
      <c r="G456" s="6" t="s">
        <v>377</v>
      </c>
      <c r="H456" s="6"/>
      <c r="I456" s="7" t="str">
        <f>'工程单价费(税)率汇总表'!G18&amp;"%"</f>
        <v>32.8%</v>
      </c>
      <c r="J456" s="15">
        <f>K447</f>
        <v>28.37</v>
      </c>
      <c r="K456" s="15">
        <f t="shared" si="33"/>
        <v>9.31</v>
      </c>
    </row>
    <row r="457" customHeight="1" spans="1:11">
      <c r="A457" s="6" t="s">
        <v>57</v>
      </c>
      <c r="B457" s="5" t="s">
        <v>389</v>
      </c>
      <c r="C457" s="5"/>
      <c r="D457" s="5"/>
      <c r="E457" s="5"/>
      <c r="F457" s="5"/>
      <c r="G457" s="6" t="s">
        <v>377</v>
      </c>
      <c r="H457" s="6"/>
      <c r="I457" s="7" t="str">
        <f>'工程单价费(税)率汇总表'!H18&amp;"%"</f>
        <v>7%</v>
      </c>
      <c r="J457" s="15">
        <f>K446+K455+K456</f>
        <v>303.81</v>
      </c>
      <c r="K457" s="15">
        <f t="shared" si="33"/>
        <v>21.27</v>
      </c>
    </row>
    <row r="458" customHeight="1" spans="1:11">
      <c r="A458" s="6" t="s">
        <v>59</v>
      </c>
      <c r="B458" s="5" t="s">
        <v>207</v>
      </c>
      <c r="C458" s="5"/>
      <c r="D458" s="5"/>
      <c r="E458" s="5"/>
      <c r="F458" s="5"/>
      <c r="G458" s="6" t="s">
        <v>377</v>
      </c>
      <c r="H458" s="6"/>
      <c r="I458" s="7"/>
      <c r="J458" s="7"/>
      <c r="K458" s="15">
        <f>SUM(K459:K459)</f>
        <v>32.8</v>
      </c>
    </row>
    <row r="459" customHeight="1" spans="1:11">
      <c r="A459" s="6"/>
      <c r="B459" s="5" t="s">
        <v>324</v>
      </c>
      <c r="C459" s="5"/>
      <c r="D459" s="5"/>
      <c r="E459" s="5"/>
      <c r="F459" s="5"/>
      <c r="G459" s="6" t="s">
        <v>378</v>
      </c>
      <c r="H459" s="6"/>
      <c r="I459" s="7">
        <f>I448</f>
        <v>8.2</v>
      </c>
      <c r="J459" s="15">
        <v>4</v>
      </c>
      <c r="K459" s="15">
        <f t="shared" ref="K459:K461" si="34">ROUND(I459*J459,2)</f>
        <v>32.8</v>
      </c>
    </row>
    <row r="460" customHeight="1" spans="1:11">
      <c r="A460" s="6" t="s">
        <v>227</v>
      </c>
      <c r="B460" s="5" t="s">
        <v>208</v>
      </c>
      <c r="C460" s="5"/>
      <c r="D460" s="5"/>
      <c r="E460" s="5"/>
      <c r="F460" s="5"/>
      <c r="G460" s="6" t="s">
        <v>377</v>
      </c>
      <c r="H460" s="6"/>
      <c r="I460" s="7" t="str">
        <f>'工程单价费(税)率汇总表'!I18&amp;"%"</f>
        <v>0%</v>
      </c>
      <c r="J460" s="15">
        <f>K446+K455+K456+K457+K458</f>
        <v>357.88</v>
      </c>
      <c r="K460" s="15">
        <f t="shared" si="34"/>
        <v>0</v>
      </c>
    </row>
    <row r="461" customHeight="1" spans="1:11">
      <c r="A461" s="6" t="s">
        <v>223</v>
      </c>
      <c r="B461" s="5" t="s">
        <v>209</v>
      </c>
      <c r="C461" s="5"/>
      <c r="D461" s="5"/>
      <c r="E461" s="5"/>
      <c r="F461" s="5"/>
      <c r="G461" s="6" t="s">
        <v>377</v>
      </c>
      <c r="H461" s="6"/>
      <c r="I461" s="7" t="str">
        <f>'工程单价费(税)率汇总表'!J18&amp;"%"</f>
        <v>9%</v>
      </c>
      <c r="J461" s="15">
        <f>K446+K455+K456+K457+K458+K460</f>
        <v>357.88</v>
      </c>
      <c r="K461" s="15">
        <f t="shared" si="34"/>
        <v>32.21</v>
      </c>
    </row>
    <row r="462" customHeight="1" spans="1:11">
      <c r="A462" s="6"/>
      <c r="B462" s="5" t="s">
        <v>61</v>
      </c>
      <c r="C462" s="5"/>
      <c r="D462" s="5"/>
      <c r="E462" s="5"/>
      <c r="F462" s="5"/>
      <c r="G462" s="6" t="s">
        <v>377</v>
      </c>
      <c r="H462" s="6"/>
      <c r="I462" s="7"/>
      <c r="J462" s="7"/>
      <c r="K462" s="15">
        <f>K446+K455+K456+K457+K458+K460+K461</f>
        <v>390.09</v>
      </c>
    </row>
    <row r="463" customHeight="1" spans="1:11">
      <c r="A463" s="6"/>
      <c r="B463" s="5" t="s">
        <v>391</v>
      </c>
      <c r="C463" s="5"/>
      <c r="D463" s="5"/>
      <c r="E463" s="5"/>
      <c r="F463" s="5"/>
      <c r="G463" s="6" t="s">
        <v>377</v>
      </c>
      <c r="H463" s="6"/>
      <c r="I463" s="7"/>
      <c r="J463" s="7"/>
      <c r="K463" s="15">
        <f>ROUND(K462/100,2)</f>
        <v>3.9</v>
      </c>
    </row>
    <row r="464" customHeight="1" spans="1:11">
      <c r="A464" s="6"/>
      <c r="B464" s="5"/>
      <c r="C464" s="5"/>
      <c r="D464" s="5"/>
      <c r="E464" s="5"/>
      <c r="F464" s="5"/>
      <c r="G464" s="6"/>
      <c r="H464" s="6"/>
      <c r="I464" s="7"/>
      <c r="J464" s="7"/>
      <c r="K464" s="7"/>
    </row>
    <row r="465" customHeight="1" spans="1:11">
      <c r="A465" s="6"/>
      <c r="B465" s="5"/>
      <c r="C465" s="5"/>
      <c r="D465" s="5"/>
      <c r="E465" s="5"/>
      <c r="F465" s="5"/>
      <c r="G465" s="6"/>
      <c r="H465" s="6"/>
      <c r="I465" s="7"/>
      <c r="J465" s="7"/>
      <c r="K465" s="7"/>
    </row>
    <row r="466" customHeight="1" spans="1:11">
      <c r="A466" s="6"/>
      <c r="B466" s="5"/>
      <c r="C466" s="5"/>
      <c r="D466" s="5"/>
      <c r="E466" s="5"/>
      <c r="F466" s="5"/>
      <c r="G466" s="6"/>
      <c r="H466" s="6"/>
      <c r="I466" s="7"/>
      <c r="J466" s="7"/>
      <c r="K466" s="7"/>
    </row>
    <row r="467" customHeight="1" spans="1:11">
      <c r="A467" s="6"/>
      <c r="B467" s="5"/>
      <c r="C467" s="5"/>
      <c r="D467" s="5"/>
      <c r="E467" s="5"/>
      <c r="F467" s="5"/>
      <c r="G467" s="6"/>
      <c r="H467" s="6"/>
      <c r="I467" s="7"/>
      <c r="J467" s="7"/>
      <c r="K467" s="7"/>
    </row>
    <row r="468" customHeight="1" spans="1:11">
      <c r="A468" s="6"/>
      <c r="B468" s="5"/>
      <c r="C468" s="5"/>
      <c r="D468" s="5"/>
      <c r="E468" s="5"/>
      <c r="F468" s="5"/>
      <c r="G468" s="6"/>
      <c r="H468" s="6"/>
      <c r="I468" s="7"/>
      <c r="J468" s="7"/>
      <c r="K468" s="7"/>
    </row>
    <row r="469" customHeight="1" spans="1:11">
      <c r="A469" s="6"/>
      <c r="B469" s="5"/>
      <c r="C469" s="5"/>
      <c r="D469" s="5"/>
      <c r="E469" s="5"/>
      <c r="F469" s="5"/>
      <c r="G469" s="6"/>
      <c r="H469" s="6"/>
      <c r="I469" s="7"/>
      <c r="J469" s="7"/>
      <c r="K469" s="7"/>
    </row>
    <row r="470" customHeight="1" spans="1:11">
      <c r="A470" s="6"/>
      <c r="B470" s="5"/>
      <c r="C470" s="5"/>
      <c r="D470" s="5"/>
      <c r="E470" s="5"/>
      <c r="F470" s="5"/>
      <c r="G470" s="6"/>
      <c r="H470" s="6"/>
      <c r="I470" s="7"/>
      <c r="J470" s="7"/>
      <c r="K470" s="7"/>
    </row>
    <row r="471" customHeight="1" spans="1:11">
      <c r="A471" s="6"/>
      <c r="B471" s="5"/>
      <c r="C471" s="5"/>
      <c r="D471" s="5"/>
      <c r="E471" s="5"/>
      <c r="F471" s="5"/>
      <c r="G471" s="6"/>
      <c r="H471" s="6"/>
      <c r="I471" s="7"/>
      <c r="J471" s="7"/>
      <c r="K471" s="7"/>
    </row>
    <row r="472" customHeight="1" spans="1:11">
      <c r="A472" s="6"/>
      <c r="B472" s="5"/>
      <c r="C472" s="5"/>
      <c r="D472" s="5"/>
      <c r="E472" s="5"/>
      <c r="F472" s="5"/>
      <c r="G472" s="6"/>
      <c r="H472" s="6"/>
      <c r="I472" s="7"/>
      <c r="J472" s="7"/>
      <c r="K472" s="7"/>
    </row>
    <row r="473" customHeight="1" spans="1:11">
      <c r="A473" s="6"/>
      <c r="B473" s="5"/>
      <c r="C473" s="5"/>
      <c r="D473" s="5"/>
      <c r="E473" s="5"/>
      <c r="F473" s="5"/>
      <c r="G473" s="6"/>
      <c r="H473" s="6"/>
      <c r="I473" s="7"/>
      <c r="J473" s="7"/>
      <c r="K473" s="7"/>
    </row>
    <row r="474" customHeight="1" spans="1:11">
      <c r="A474" s="6"/>
      <c r="B474" s="5"/>
      <c r="C474" s="5"/>
      <c r="D474" s="5"/>
      <c r="E474" s="5"/>
      <c r="F474" s="5"/>
      <c r="G474" s="6"/>
      <c r="H474" s="6"/>
      <c r="I474" s="7"/>
      <c r="J474" s="7"/>
      <c r="K474" s="7"/>
    </row>
    <row r="475" customHeight="1" spans="1:11">
      <c r="A475" s="6"/>
      <c r="B475" s="5"/>
      <c r="C475" s="5"/>
      <c r="D475" s="5"/>
      <c r="E475" s="5"/>
      <c r="F475" s="5"/>
      <c r="G475" s="6"/>
      <c r="H475" s="6"/>
      <c r="I475" s="7"/>
      <c r="J475" s="7"/>
      <c r="K475" s="7"/>
    </row>
    <row r="476" customHeight="1" spans="1:11">
      <c r="A476" s="6"/>
      <c r="B476" s="5"/>
      <c r="C476" s="5"/>
      <c r="D476" s="5"/>
      <c r="E476" s="5"/>
      <c r="F476" s="5"/>
      <c r="G476" s="6"/>
      <c r="H476" s="6"/>
      <c r="I476" s="7"/>
      <c r="J476" s="7"/>
      <c r="K476" s="7"/>
    </row>
    <row r="477" ht="7.5" customHeight="1" spans="1:11">
      <c r="A477" s="3"/>
      <c r="B477" s="3"/>
      <c r="C477" s="3"/>
      <c r="D477" s="3"/>
      <c r="E477" s="3"/>
      <c r="F477" s="3"/>
      <c r="G477" s="3"/>
      <c r="H477" s="3"/>
      <c r="I477" s="3"/>
      <c r="J477" s="3"/>
      <c r="K477" s="3"/>
    </row>
    <row r="478" ht="26.25" customHeight="1" spans="1:11">
      <c r="A478" s="2" t="s">
        <v>367</v>
      </c>
      <c r="B478" s="2"/>
      <c r="C478" s="2"/>
      <c r="D478" s="2"/>
      <c r="E478" s="2"/>
      <c r="F478" s="2"/>
      <c r="G478" s="2"/>
      <c r="H478" s="2"/>
      <c r="I478" s="2"/>
      <c r="J478" s="2"/>
      <c r="K478" s="2"/>
    </row>
    <row r="479" customHeight="1" spans="1:11">
      <c r="A479" s="11" t="s">
        <v>427</v>
      </c>
      <c r="B479" s="11"/>
      <c r="C479" s="11"/>
      <c r="D479" s="11"/>
      <c r="E479" s="11"/>
      <c r="F479" s="11"/>
      <c r="G479" s="11"/>
      <c r="H479" s="11"/>
      <c r="I479" s="11"/>
      <c r="J479" s="11"/>
      <c r="K479" s="11"/>
    </row>
    <row r="480" customHeight="1" spans="1:11">
      <c r="A480" s="8" t="s">
        <v>369</v>
      </c>
      <c r="B480" s="3" t="s">
        <v>428</v>
      </c>
      <c r="C480" s="3"/>
      <c r="D480" s="3"/>
      <c r="E480" s="3"/>
      <c r="F480" s="3"/>
      <c r="G480" s="3"/>
      <c r="H480" s="12" t="s">
        <v>429</v>
      </c>
      <c r="I480" s="12"/>
      <c r="J480" s="12"/>
      <c r="K480" s="12"/>
    </row>
    <row r="481" ht="27.75" customHeight="1" spans="1:11">
      <c r="A481" s="13" t="s">
        <v>371</v>
      </c>
      <c r="B481" s="14" t="s">
        <v>430</v>
      </c>
      <c r="C481" s="14"/>
      <c r="D481" s="14"/>
      <c r="E481" s="14"/>
      <c r="F481" s="14"/>
      <c r="G481" s="14"/>
      <c r="H481" s="14"/>
      <c r="I481" s="14"/>
      <c r="J481" s="14"/>
      <c r="K481" s="14"/>
    </row>
    <row r="482" customHeight="1" spans="1:11">
      <c r="A482" s="6" t="s">
        <v>48</v>
      </c>
      <c r="B482" s="6" t="s">
        <v>254</v>
      </c>
      <c r="C482" s="6" t="s">
        <v>255</v>
      </c>
      <c r="D482" s="6"/>
      <c r="E482" s="6"/>
      <c r="F482" s="6"/>
      <c r="G482" s="6" t="s">
        <v>282</v>
      </c>
      <c r="H482" s="6"/>
      <c r="I482" s="6" t="s">
        <v>373</v>
      </c>
      <c r="J482" s="6" t="s">
        <v>374</v>
      </c>
      <c r="K482" s="6" t="s">
        <v>375</v>
      </c>
    </row>
    <row r="483" customHeight="1" spans="1:11">
      <c r="A483" s="6" t="s">
        <v>51</v>
      </c>
      <c r="B483" s="5" t="s">
        <v>376</v>
      </c>
      <c r="C483" s="5"/>
      <c r="D483" s="5"/>
      <c r="E483" s="5"/>
      <c r="F483" s="5"/>
      <c r="G483" s="6" t="s">
        <v>377</v>
      </c>
      <c r="H483" s="6"/>
      <c r="I483" s="7"/>
      <c r="J483" s="7"/>
      <c r="K483" s="15">
        <f>K484+K486+K487+K490+K491</f>
        <v>226.61</v>
      </c>
    </row>
    <row r="484" customHeight="1" spans="1:11">
      <c r="A484" s="6" t="s">
        <v>72</v>
      </c>
      <c r="B484" s="5" t="s">
        <v>199</v>
      </c>
      <c r="C484" s="5"/>
      <c r="D484" s="5"/>
      <c r="E484" s="5"/>
      <c r="F484" s="5"/>
      <c r="G484" s="6" t="s">
        <v>377</v>
      </c>
      <c r="H484" s="6"/>
      <c r="I484" s="7"/>
      <c r="J484" s="7"/>
      <c r="K484" s="15">
        <f>SUM(K485:K485)</f>
        <v>145.32</v>
      </c>
    </row>
    <row r="485" customHeight="1" spans="1:11">
      <c r="A485" s="6"/>
      <c r="B485" s="5" t="s">
        <v>324</v>
      </c>
      <c r="C485" s="5"/>
      <c r="D485" s="5"/>
      <c r="E485" s="5"/>
      <c r="F485" s="5"/>
      <c r="G485" s="6" t="s">
        <v>378</v>
      </c>
      <c r="H485" s="6"/>
      <c r="I485" s="7">
        <v>42</v>
      </c>
      <c r="J485" s="15">
        <v>3.46</v>
      </c>
      <c r="K485" s="15">
        <f t="shared" ref="K485:K494" si="35">ROUND(I485*J485,2)</f>
        <v>145.32</v>
      </c>
    </row>
    <row r="486" customHeight="1" spans="1:11">
      <c r="A486" s="6" t="s">
        <v>131</v>
      </c>
      <c r="B486" s="5" t="s">
        <v>200</v>
      </c>
      <c r="C486" s="5"/>
      <c r="D486" s="5"/>
      <c r="E486" s="5"/>
      <c r="F486" s="5"/>
      <c r="G486" s="6" t="s">
        <v>377</v>
      </c>
      <c r="H486" s="6"/>
      <c r="I486" s="7"/>
      <c r="J486" s="7"/>
      <c r="K486" s="15">
        <v>0</v>
      </c>
    </row>
    <row r="487" customHeight="1" spans="1:11">
      <c r="A487" s="6" t="s">
        <v>381</v>
      </c>
      <c r="B487" s="5" t="s">
        <v>382</v>
      </c>
      <c r="C487" s="5"/>
      <c r="D487" s="5"/>
      <c r="E487" s="5"/>
      <c r="F487" s="5"/>
      <c r="G487" s="6" t="s">
        <v>377</v>
      </c>
      <c r="H487" s="6"/>
      <c r="I487" s="7"/>
      <c r="J487" s="7"/>
      <c r="K487" s="15">
        <f>SUM(K488:K489)</f>
        <v>7.93</v>
      </c>
    </row>
    <row r="488" customHeight="1" spans="1:11">
      <c r="A488" s="6"/>
      <c r="B488" s="5" t="s">
        <v>364</v>
      </c>
      <c r="C488" s="5"/>
      <c r="D488" s="5"/>
      <c r="E488" s="5"/>
      <c r="F488" s="5"/>
      <c r="G488" s="6" t="s">
        <v>383</v>
      </c>
      <c r="H488" s="6"/>
      <c r="I488" s="7">
        <v>0.5</v>
      </c>
      <c r="J488" s="15">
        <f>施工机械台时费汇总表!P33</f>
        <v>14.95</v>
      </c>
      <c r="K488" s="15">
        <f t="shared" si="35"/>
        <v>7.48</v>
      </c>
    </row>
    <row r="489" customHeight="1" spans="1:11">
      <c r="A489" s="6"/>
      <c r="B489" s="5" t="s">
        <v>409</v>
      </c>
      <c r="C489" s="5"/>
      <c r="D489" s="5"/>
      <c r="E489" s="5"/>
      <c r="F489" s="5"/>
      <c r="G489" s="6" t="s">
        <v>380</v>
      </c>
      <c r="H489" s="6"/>
      <c r="I489" s="7">
        <v>6</v>
      </c>
      <c r="J489" s="15">
        <f>K488</f>
        <v>7.48</v>
      </c>
      <c r="K489" s="15">
        <f>ROUND(I489*J489/100,2)</f>
        <v>0.45</v>
      </c>
    </row>
    <row r="490" customHeight="1" spans="1:11">
      <c r="A490" s="6" t="s">
        <v>384</v>
      </c>
      <c r="B490" s="5" t="s">
        <v>385</v>
      </c>
      <c r="C490" s="5"/>
      <c r="D490" s="5"/>
      <c r="E490" s="5"/>
      <c r="F490" s="5"/>
      <c r="G490" s="6" t="s">
        <v>377</v>
      </c>
      <c r="H490" s="6"/>
      <c r="I490" s="7" t="str">
        <f>'工程单价费(税)率汇总表'!D20&amp;"%"</f>
        <v>5.2%</v>
      </c>
      <c r="J490" s="15">
        <f>K484+K486+K487</f>
        <v>153.25</v>
      </c>
      <c r="K490" s="15">
        <f t="shared" si="35"/>
        <v>7.97</v>
      </c>
    </row>
    <row r="491" customHeight="1" spans="1:11">
      <c r="A491" s="6" t="s">
        <v>386</v>
      </c>
      <c r="B491" s="5" t="s">
        <v>387</v>
      </c>
      <c r="C491" s="5"/>
      <c r="D491" s="5"/>
      <c r="E491" s="5"/>
      <c r="F491" s="5"/>
      <c r="G491" s="6" t="s">
        <v>377</v>
      </c>
      <c r="H491" s="6"/>
      <c r="I491" s="7" t="str">
        <f>'工程单价费(税)率汇总表'!E20&amp;"%"</f>
        <v>45%</v>
      </c>
      <c r="J491" s="15">
        <f>K484</f>
        <v>145.32</v>
      </c>
      <c r="K491" s="15">
        <f t="shared" si="35"/>
        <v>65.39</v>
      </c>
    </row>
    <row r="492" customHeight="1" spans="1:11">
      <c r="A492" s="6" t="s">
        <v>53</v>
      </c>
      <c r="B492" s="5" t="s">
        <v>388</v>
      </c>
      <c r="C492" s="5"/>
      <c r="D492" s="5"/>
      <c r="E492" s="5"/>
      <c r="F492" s="5"/>
      <c r="G492" s="6" t="s">
        <v>377</v>
      </c>
      <c r="H492" s="6"/>
      <c r="I492" s="7" t="str">
        <f>'工程单价费(税)率汇总表'!F20&amp;"%"</f>
        <v>47%</v>
      </c>
      <c r="J492" s="15">
        <f>K484</f>
        <v>145.32</v>
      </c>
      <c r="K492" s="15">
        <f t="shared" si="35"/>
        <v>68.3</v>
      </c>
    </row>
    <row r="493" customHeight="1" spans="1:11">
      <c r="A493" s="6" t="s">
        <v>55</v>
      </c>
      <c r="B493" s="5" t="s">
        <v>216</v>
      </c>
      <c r="C493" s="5"/>
      <c r="D493" s="5"/>
      <c r="E493" s="5"/>
      <c r="F493" s="5"/>
      <c r="G493" s="6" t="s">
        <v>377</v>
      </c>
      <c r="H493" s="6"/>
      <c r="I493" s="7" t="str">
        <f>'工程单价费(税)率汇总表'!G20&amp;"%"</f>
        <v>32.8%</v>
      </c>
      <c r="J493" s="15">
        <f>K484+ROUND(I488*2.4*3.46,2)</f>
        <v>149.47</v>
      </c>
      <c r="K493" s="15">
        <f t="shared" si="35"/>
        <v>49.03</v>
      </c>
    </row>
    <row r="494" customHeight="1" spans="1:11">
      <c r="A494" s="6" t="s">
        <v>57</v>
      </c>
      <c r="B494" s="5" t="s">
        <v>389</v>
      </c>
      <c r="C494" s="5"/>
      <c r="D494" s="5"/>
      <c r="E494" s="5"/>
      <c r="F494" s="5"/>
      <c r="G494" s="6" t="s">
        <v>377</v>
      </c>
      <c r="H494" s="6"/>
      <c r="I494" s="7" t="str">
        <f>'工程单价费(税)率汇总表'!H20&amp;"%"</f>
        <v>7%</v>
      </c>
      <c r="J494" s="15">
        <f>K483+K492+K493</f>
        <v>343.94</v>
      </c>
      <c r="K494" s="15">
        <f t="shared" si="35"/>
        <v>24.08</v>
      </c>
    </row>
    <row r="495" customHeight="1" spans="1:11">
      <c r="A495" s="6" t="s">
        <v>59</v>
      </c>
      <c r="B495" s="5" t="s">
        <v>431</v>
      </c>
      <c r="C495" s="5"/>
      <c r="D495" s="5"/>
      <c r="E495" s="5"/>
      <c r="F495" s="5"/>
      <c r="G495" s="6" t="s">
        <v>377</v>
      </c>
      <c r="H495" s="6"/>
      <c r="I495" s="7"/>
      <c r="J495" s="7"/>
      <c r="K495" s="15">
        <f>SUM(K496:K496)</f>
        <v>1353.54</v>
      </c>
    </row>
    <row r="496" customHeight="1" spans="1:11">
      <c r="A496" s="6"/>
      <c r="B496" s="5" t="s">
        <v>310</v>
      </c>
      <c r="C496" s="5" t="s">
        <v>311</v>
      </c>
      <c r="D496" s="5"/>
      <c r="E496" s="5"/>
      <c r="F496" s="5"/>
      <c r="G496" s="6" t="s">
        <v>109</v>
      </c>
      <c r="H496" s="6"/>
      <c r="I496" s="7">
        <v>102</v>
      </c>
      <c r="J496" s="15">
        <v>13.27</v>
      </c>
      <c r="K496" s="15">
        <f t="shared" ref="K496:K501" si="36">ROUND(I496*J496,2)</f>
        <v>1353.54</v>
      </c>
    </row>
    <row r="497" customHeight="1" spans="1:11">
      <c r="A497" s="6" t="s">
        <v>227</v>
      </c>
      <c r="B497" s="5" t="s">
        <v>207</v>
      </c>
      <c r="C497" s="5"/>
      <c r="D497" s="5"/>
      <c r="E497" s="5"/>
      <c r="F497" s="5"/>
      <c r="G497" s="6" t="s">
        <v>377</v>
      </c>
      <c r="H497" s="6"/>
      <c r="I497" s="7"/>
      <c r="J497" s="7"/>
      <c r="K497" s="15">
        <f>SUM(K498:K499)</f>
        <v>172.8</v>
      </c>
    </row>
    <row r="498" customHeight="1" spans="1:11">
      <c r="A498" s="6"/>
      <c r="B498" s="5" t="s">
        <v>324</v>
      </c>
      <c r="C498" s="5"/>
      <c r="D498" s="5"/>
      <c r="E498" s="5"/>
      <c r="F498" s="5"/>
      <c r="G498" s="6" t="s">
        <v>378</v>
      </c>
      <c r="H498" s="6"/>
      <c r="I498" s="7">
        <f>I485</f>
        <v>42</v>
      </c>
      <c r="J498" s="15">
        <v>4</v>
      </c>
      <c r="K498" s="15">
        <f t="shared" si="36"/>
        <v>168</v>
      </c>
    </row>
    <row r="499" customHeight="1" spans="1:11">
      <c r="A499" s="6"/>
      <c r="B499" s="5" t="s">
        <v>390</v>
      </c>
      <c r="C499" s="5"/>
      <c r="D499" s="5"/>
      <c r="E499" s="5"/>
      <c r="F499" s="5"/>
      <c r="G499" s="6" t="s">
        <v>378</v>
      </c>
      <c r="H499" s="6"/>
      <c r="I499" s="7">
        <f>I488*2.4</f>
        <v>1.2</v>
      </c>
      <c r="J499" s="15">
        <v>4</v>
      </c>
      <c r="K499" s="15">
        <f t="shared" si="36"/>
        <v>4.8</v>
      </c>
    </row>
    <row r="500" customHeight="1" spans="1:11">
      <c r="A500" s="6" t="s">
        <v>223</v>
      </c>
      <c r="B500" s="5" t="s">
        <v>208</v>
      </c>
      <c r="C500" s="5"/>
      <c r="D500" s="5"/>
      <c r="E500" s="5"/>
      <c r="F500" s="5"/>
      <c r="G500" s="6" t="s">
        <v>377</v>
      </c>
      <c r="H500" s="6"/>
      <c r="I500" s="7" t="str">
        <f>'工程单价费(税)率汇总表'!I20&amp;"%"</f>
        <v>0%</v>
      </c>
      <c r="J500" s="15">
        <f>K483+K492+K493+K494+K495+K497</f>
        <v>1894.36</v>
      </c>
      <c r="K500" s="15">
        <f t="shared" si="36"/>
        <v>0</v>
      </c>
    </row>
    <row r="501" customHeight="1" spans="1:11">
      <c r="A501" s="6" t="s">
        <v>237</v>
      </c>
      <c r="B501" s="5" t="s">
        <v>209</v>
      </c>
      <c r="C501" s="5"/>
      <c r="D501" s="5"/>
      <c r="E501" s="5"/>
      <c r="F501" s="5"/>
      <c r="G501" s="6" t="s">
        <v>377</v>
      </c>
      <c r="H501" s="6"/>
      <c r="I501" s="7" t="str">
        <f>'工程单价费(税)率汇总表'!J20&amp;"%"</f>
        <v>9%</v>
      </c>
      <c r="J501" s="15">
        <f>K483+K492+K493+K494+K495+K497+K500</f>
        <v>1894.36</v>
      </c>
      <c r="K501" s="15">
        <f t="shared" si="36"/>
        <v>170.49</v>
      </c>
    </row>
    <row r="502" customHeight="1" spans="1:11">
      <c r="A502" s="6"/>
      <c r="B502" s="5" t="s">
        <v>61</v>
      </c>
      <c r="C502" s="5"/>
      <c r="D502" s="5"/>
      <c r="E502" s="5"/>
      <c r="F502" s="5"/>
      <c r="G502" s="6" t="s">
        <v>377</v>
      </c>
      <c r="H502" s="6"/>
      <c r="I502" s="7"/>
      <c r="J502" s="7"/>
      <c r="K502" s="15">
        <f>K483+K492+K493+K494+K495+K497+K500+K501</f>
        <v>2064.85</v>
      </c>
    </row>
    <row r="503" customHeight="1" spans="1:11">
      <c r="A503" s="6"/>
      <c r="B503" s="5" t="s">
        <v>391</v>
      </c>
      <c r="C503" s="5"/>
      <c r="D503" s="5"/>
      <c r="E503" s="5"/>
      <c r="F503" s="5"/>
      <c r="G503" s="6" t="s">
        <v>377</v>
      </c>
      <c r="H503" s="6"/>
      <c r="I503" s="7"/>
      <c r="J503" s="7"/>
      <c r="K503" s="15">
        <f>ROUND(K502/100,2)</f>
        <v>20.65</v>
      </c>
    </row>
    <row r="504" customHeight="1" spans="1:11">
      <c r="A504" s="6"/>
      <c r="B504" s="5"/>
      <c r="C504" s="5"/>
      <c r="D504" s="5"/>
      <c r="E504" s="5"/>
      <c r="F504" s="5"/>
      <c r="G504" s="6"/>
      <c r="H504" s="6"/>
      <c r="I504" s="7"/>
      <c r="J504" s="7"/>
      <c r="K504" s="7"/>
    </row>
    <row r="505" customHeight="1" spans="1:11">
      <c r="A505" s="6"/>
      <c r="B505" s="5"/>
      <c r="C505" s="5"/>
      <c r="D505" s="5"/>
      <c r="E505" s="5"/>
      <c r="F505" s="5"/>
      <c r="G505" s="6"/>
      <c r="H505" s="6"/>
      <c r="I505" s="7"/>
      <c r="J505" s="7"/>
      <c r="K505" s="7"/>
    </row>
    <row r="506" customHeight="1" spans="1:11">
      <c r="A506" s="6"/>
      <c r="B506" s="5"/>
      <c r="C506" s="5"/>
      <c r="D506" s="5"/>
      <c r="E506" s="5"/>
      <c r="F506" s="5"/>
      <c r="G506" s="6"/>
      <c r="H506" s="6"/>
      <c r="I506" s="7"/>
      <c r="J506" s="7"/>
      <c r="K506" s="7"/>
    </row>
    <row r="507" customHeight="1" spans="1:11">
      <c r="A507" s="6"/>
      <c r="B507" s="5"/>
      <c r="C507" s="5"/>
      <c r="D507" s="5"/>
      <c r="E507" s="5"/>
      <c r="F507" s="5"/>
      <c r="G507" s="6"/>
      <c r="H507" s="6"/>
      <c r="I507" s="7"/>
      <c r="J507" s="7"/>
      <c r="K507" s="7"/>
    </row>
    <row r="508" customHeight="1" spans="1:11">
      <c r="A508" s="6"/>
      <c r="B508" s="5"/>
      <c r="C508" s="5"/>
      <c r="D508" s="5"/>
      <c r="E508" s="5"/>
      <c r="F508" s="5"/>
      <c r="G508" s="6"/>
      <c r="H508" s="6"/>
      <c r="I508" s="7"/>
      <c r="J508" s="7"/>
      <c r="K508" s="7"/>
    </row>
    <row r="509" customHeight="1" spans="1:11">
      <c r="A509" s="6"/>
      <c r="B509" s="5"/>
      <c r="C509" s="5"/>
      <c r="D509" s="5"/>
      <c r="E509" s="5"/>
      <c r="F509" s="5"/>
      <c r="G509" s="6"/>
      <c r="H509" s="6"/>
      <c r="I509" s="7"/>
      <c r="J509" s="7"/>
      <c r="K509" s="7"/>
    </row>
    <row r="510" customHeight="1" spans="1:11">
      <c r="A510" s="6"/>
      <c r="B510" s="5"/>
      <c r="C510" s="5"/>
      <c r="D510" s="5"/>
      <c r="E510" s="5"/>
      <c r="F510" s="5"/>
      <c r="G510" s="6"/>
      <c r="H510" s="6"/>
      <c r="I510" s="7"/>
      <c r="J510" s="7"/>
      <c r="K510" s="7"/>
    </row>
    <row r="511" customHeight="1" spans="1:11">
      <c r="A511" s="6"/>
      <c r="B511" s="5"/>
      <c r="C511" s="5"/>
      <c r="D511" s="5"/>
      <c r="E511" s="5"/>
      <c r="F511" s="5"/>
      <c r="G511" s="6"/>
      <c r="H511" s="6"/>
      <c r="I511" s="7"/>
      <c r="J511" s="7"/>
      <c r="K511" s="7"/>
    </row>
    <row r="512" customHeight="1" spans="1:11">
      <c r="A512" s="6"/>
      <c r="B512" s="5"/>
      <c r="C512" s="5"/>
      <c r="D512" s="5"/>
      <c r="E512" s="5"/>
      <c r="F512" s="5"/>
      <c r="G512" s="6"/>
      <c r="H512" s="6"/>
      <c r="I512" s="7"/>
      <c r="J512" s="7"/>
      <c r="K512" s="7"/>
    </row>
    <row r="513" customHeight="1" spans="1:11">
      <c r="A513" s="6"/>
      <c r="B513" s="5"/>
      <c r="C513" s="5"/>
      <c r="D513" s="5"/>
      <c r="E513" s="5"/>
      <c r="F513" s="5"/>
      <c r="G513" s="6"/>
      <c r="H513" s="6"/>
      <c r="I513" s="7"/>
      <c r="J513" s="7"/>
      <c r="K513" s="7"/>
    </row>
    <row r="514" ht="7.5" customHeight="1" spans="1:11">
      <c r="A514" s="3"/>
      <c r="B514" s="3"/>
      <c r="C514" s="3"/>
      <c r="D514" s="3"/>
      <c r="E514" s="3"/>
      <c r="F514" s="3"/>
      <c r="G514" s="3"/>
      <c r="H514" s="3"/>
      <c r="I514" s="3"/>
      <c r="J514" s="3"/>
      <c r="K514" s="3"/>
    </row>
    <row r="515" ht="26.25" customHeight="1" spans="1:11">
      <c r="A515" s="2" t="s">
        <v>367</v>
      </c>
      <c r="B515" s="2"/>
      <c r="C515" s="2"/>
      <c r="D515" s="2"/>
      <c r="E515" s="2"/>
      <c r="F515" s="2"/>
      <c r="G515" s="2"/>
      <c r="H515" s="2"/>
      <c r="I515" s="2"/>
      <c r="J515" s="2"/>
      <c r="K515" s="2"/>
    </row>
    <row r="516" customHeight="1" spans="1:11">
      <c r="A516" s="11" t="s">
        <v>432</v>
      </c>
      <c r="B516" s="11"/>
      <c r="C516" s="11"/>
      <c r="D516" s="11"/>
      <c r="E516" s="11"/>
      <c r="F516" s="11"/>
      <c r="G516" s="11"/>
      <c r="H516" s="11"/>
      <c r="I516" s="11"/>
      <c r="J516" s="11"/>
      <c r="K516" s="11"/>
    </row>
    <row r="517" customHeight="1" spans="1:11">
      <c r="A517" s="8" t="s">
        <v>369</v>
      </c>
      <c r="B517" s="3" t="s">
        <v>433</v>
      </c>
      <c r="C517" s="3"/>
      <c r="D517" s="3"/>
      <c r="E517" s="3"/>
      <c r="F517" s="3"/>
      <c r="G517" s="3"/>
      <c r="H517" s="12" t="s">
        <v>393</v>
      </c>
      <c r="I517" s="12"/>
      <c r="J517" s="12"/>
      <c r="K517" s="12"/>
    </row>
    <row r="518" ht="27.75" customHeight="1" spans="1:11">
      <c r="A518" s="13" t="s">
        <v>371</v>
      </c>
      <c r="B518" s="14" t="s">
        <v>434</v>
      </c>
      <c r="C518" s="14"/>
      <c r="D518" s="14"/>
      <c r="E518" s="14"/>
      <c r="F518" s="14"/>
      <c r="G518" s="14"/>
      <c r="H518" s="14"/>
      <c r="I518" s="14"/>
      <c r="J518" s="14"/>
      <c r="K518" s="14"/>
    </row>
    <row r="519" customHeight="1" spans="1:11">
      <c r="A519" s="6" t="s">
        <v>48</v>
      </c>
      <c r="B519" s="6" t="s">
        <v>254</v>
      </c>
      <c r="C519" s="6" t="s">
        <v>255</v>
      </c>
      <c r="D519" s="6"/>
      <c r="E519" s="6"/>
      <c r="F519" s="6"/>
      <c r="G519" s="6" t="s">
        <v>282</v>
      </c>
      <c r="H519" s="6"/>
      <c r="I519" s="6" t="s">
        <v>373</v>
      </c>
      <c r="J519" s="6" t="s">
        <v>374</v>
      </c>
      <c r="K519" s="6" t="s">
        <v>375</v>
      </c>
    </row>
    <row r="520" customHeight="1" spans="1:11">
      <c r="A520" s="6" t="s">
        <v>51</v>
      </c>
      <c r="B520" s="5" t="s">
        <v>376</v>
      </c>
      <c r="C520" s="5"/>
      <c r="D520" s="5"/>
      <c r="E520" s="5"/>
      <c r="F520" s="5"/>
      <c r="G520" s="6" t="s">
        <v>377</v>
      </c>
      <c r="H520" s="6"/>
      <c r="I520" s="7"/>
      <c r="J520" s="7"/>
      <c r="K520" s="15">
        <f>K521+K523+K525+K528+K529</f>
        <v>387.72</v>
      </c>
    </row>
    <row r="521" customHeight="1" spans="1:11">
      <c r="A521" s="6" t="s">
        <v>72</v>
      </c>
      <c r="B521" s="5" t="s">
        <v>199</v>
      </c>
      <c r="C521" s="5"/>
      <c r="D521" s="5"/>
      <c r="E521" s="5"/>
      <c r="F521" s="5"/>
      <c r="G521" s="6" t="s">
        <v>377</v>
      </c>
      <c r="H521" s="6"/>
      <c r="I521" s="7"/>
      <c r="J521" s="7"/>
      <c r="K521" s="15">
        <f>SUM(K522:K522)</f>
        <v>204.14</v>
      </c>
    </row>
    <row r="522" customHeight="1" spans="1:11">
      <c r="A522" s="6"/>
      <c r="B522" s="5" t="s">
        <v>324</v>
      </c>
      <c r="C522" s="5"/>
      <c r="D522" s="5"/>
      <c r="E522" s="5"/>
      <c r="F522" s="5"/>
      <c r="G522" s="6" t="s">
        <v>378</v>
      </c>
      <c r="H522" s="6"/>
      <c r="I522" s="7">
        <v>59</v>
      </c>
      <c r="J522" s="15">
        <v>3.46</v>
      </c>
      <c r="K522" s="15">
        <f t="shared" ref="K522:K532" si="37">ROUND(I522*J522,2)</f>
        <v>204.14</v>
      </c>
    </row>
    <row r="523" customHeight="1" spans="1:11">
      <c r="A523" s="6" t="s">
        <v>131</v>
      </c>
      <c r="B523" s="5" t="s">
        <v>200</v>
      </c>
      <c r="C523" s="5"/>
      <c r="D523" s="5"/>
      <c r="E523" s="5"/>
      <c r="F523" s="5"/>
      <c r="G523" s="6" t="s">
        <v>377</v>
      </c>
      <c r="H523" s="6"/>
      <c r="I523" s="7"/>
      <c r="J523" s="7"/>
      <c r="K523" s="15">
        <f>SUM(K524:K524)</f>
        <v>46.61</v>
      </c>
    </row>
    <row r="524" customHeight="1" spans="1:11">
      <c r="A524" s="6"/>
      <c r="B524" s="5" t="s">
        <v>379</v>
      </c>
      <c r="C524" s="5"/>
      <c r="D524" s="5"/>
      <c r="E524" s="5"/>
      <c r="F524" s="5"/>
      <c r="G524" s="6" t="s">
        <v>380</v>
      </c>
      <c r="H524" s="6"/>
      <c r="I524" s="7">
        <v>15</v>
      </c>
      <c r="J524" s="15">
        <f>K522+K526+K527</f>
        <v>310.74</v>
      </c>
      <c r="K524" s="15">
        <f>ROUND(I524*J524/100,2)</f>
        <v>46.61</v>
      </c>
    </row>
    <row r="525" customHeight="1" spans="1:11">
      <c r="A525" s="6" t="s">
        <v>381</v>
      </c>
      <c r="B525" s="5" t="s">
        <v>382</v>
      </c>
      <c r="C525" s="5"/>
      <c r="D525" s="5"/>
      <c r="E525" s="5"/>
      <c r="F525" s="5"/>
      <c r="G525" s="6" t="s">
        <v>377</v>
      </c>
      <c r="H525" s="6"/>
      <c r="I525" s="7"/>
      <c r="J525" s="7"/>
      <c r="K525" s="15">
        <f>SUM(K526:K527)</f>
        <v>106.6</v>
      </c>
    </row>
    <row r="526" customHeight="1" spans="1:11">
      <c r="A526" s="6"/>
      <c r="B526" s="5" t="s">
        <v>325</v>
      </c>
      <c r="C526" s="5" t="s">
        <v>326</v>
      </c>
      <c r="D526" s="5"/>
      <c r="E526" s="5"/>
      <c r="F526" s="5"/>
      <c r="G526" s="6" t="s">
        <v>383</v>
      </c>
      <c r="H526" s="6"/>
      <c r="I526" s="7">
        <v>0.86</v>
      </c>
      <c r="J526" s="15">
        <f>施工机械台时费汇总表!P8</f>
        <v>112.25</v>
      </c>
      <c r="K526" s="15">
        <f t="shared" si="37"/>
        <v>96.54</v>
      </c>
    </row>
    <row r="527" customHeight="1" spans="1:11">
      <c r="A527" s="6"/>
      <c r="B527" s="5" t="s">
        <v>352</v>
      </c>
      <c r="C527" s="5"/>
      <c r="D527" s="5"/>
      <c r="E527" s="5"/>
      <c r="F527" s="5"/>
      <c r="G527" s="6" t="s">
        <v>383</v>
      </c>
      <c r="H527" s="6"/>
      <c r="I527" s="7">
        <v>12.27</v>
      </c>
      <c r="J527" s="15">
        <f>施工机械台时费汇总表!P22</f>
        <v>0.82</v>
      </c>
      <c r="K527" s="15">
        <f t="shared" si="37"/>
        <v>10.06</v>
      </c>
    </row>
    <row r="528" customHeight="1" spans="1:11">
      <c r="A528" s="6" t="s">
        <v>384</v>
      </c>
      <c r="B528" s="5" t="s">
        <v>385</v>
      </c>
      <c r="C528" s="5"/>
      <c r="D528" s="5"/>
      <c r="E528" s="5"/>
      <c r="F528" s="5"/>
      <c r="G528" s="6" t="s">
        <v>377</v>
      </c>
      <c r="H528" s="6"/>
      <c r="I528" s="7" t="str">
        <f>'工程单价费(税)率汇总表'!D8&amp;"%"</f>
        <v>4.5%</v>
      </c>
      <c r="J528" s="15">
        <f>K521+K523+K525</f>
        <v>357.35</v>
      </c>
      <c r="K528" s="15">
        <f t="shared" si="37"/>
        <v>16.08</v>
      </c>
    </row>
    <row r="529" customHeight="1" spans="1:11">
      <c r="A529" s="6" t="s">
        <v>386</v>
      </c>
      <c r="B529" s="5" t="s">
        <v>387</v>
      </c>
      <c r="C529" s="5"/>
      <c r="D529" s="5"/>
      <c r="E529" s="5"/>
      <c r="F529" s="5"/>
      <c r="G529" s="6" t="s">
        <v>377</v>
      </c>
      <c r="H529" s="6"/>
      <c r="I529" s="7" t="str">
        <f>'工程单价费(税)率汇总表'!E8&amp;"%"</f>
        <v>4%</v>
      </c>
      <c r="J529" s="15">
        <f>K521+K523+K525</f>
        <v>357.35</v>
      </c>
      <c r="K529" s="15">
        <f t="shared" si="37"/>
        <v>14.29</v>
      </c>
    </row>
    <row r="530" customHeight="1" spans="1:11">
      <c r="A530" s="6" t="s">
        <v>53</v>
      </c>
      <c r="B530" s="5" t="s">
        <v>388</v>
      </c>
      <c r="C530" s="5"/>
      <c r="D530" s="5"/>
      <c r="E530" s="5"/>
      <c r="F530" s="5"/>
      <c r="G530" s="6" t="s">
        <v>377</v>
      </c>
      <c r="H530" s="6"/>
      <c r="I530" s="7" t="str">
        <f>'工程单价费(税)率汇总表'!F8&amp;"%"</f>
        <v>3.7%</v>
      </c>
      <c r="J530" s="15">
        <f>K520</f>
        <v>387.72</v>
      </c>
      <c r="K530" s="15">
        <f t="shared" si="37"/>
        <v>14.35</v>
      </c>
    </row>
    <row r="531" customHeight="1" spans="1:11">
      <c r="A531" s="6" t="s">
        <v>55</v>
      </c>
      <c r="B531" s="5" t="s">
        <v>216</v>
      </c>
      <c r="C531" s="5"/>
      <c r="D531" s="5"/>
      <c r="E531" s="5"/>
      <c r="F531" s="5"/>
      <c r="G531" s="6" t="s">
        <v>377</v>
      </c>
      <c r="H531" s="6"/>
      <c r="I531" s="7" t="str">
        <f>'工程单价费(税)率汇总表'!G8&amp;"%"</f>
        <v>32.8%</v>
      </c>
      <c r="J531" s="15">
        <f>K521+ROUND(I526*2.7*3.46,2)</f>
        <v>212.17</v>
      </c>
      <c r="K531" s="15">
        <f t="shared" si="37"/>
        <v>69.59</v>
      </c>
    </row>
    <row r="532" customHeight="1" spans="1:11">
      <c r="A532" s="6" t="s">
        <v>57</v>
      </c>
      <c r="B532" s="5" t="s">
        <v>389</v>
      </c>
      <c r="C532" s="5"/>
      <c r="D532" s="5"/>
      <c r="E532" s="5"/>
      <c r="F532" s="5"/>
      <c r="G532" s="6" t="s">
        <v>377</v>
      </c>
      <c r="H532" s="6"/>
      <c r="I532" s="7" t="str">
        <f>'工程单价费(税)率汇总表'!H8&amp;"%"</f>
        <v>7%</v>
      </c>
      <c r="J532" s="15">
        <f>K520+K530+K531</f>
        <v>471.66</v>
      </c>
      <c r="K532" s="15">
        <f t="shared" si="37"/>
        <v>33.02</v>
      </c>
    </row>
    <row r="533" customHeight="1" spans="1:11">
      <c r="A533" s="6" t="s">
        <v>59</v>
      </c>
      <c r="B533" s="5" t="s">
        <v>207</v>
      </c>
      <c r="C533" s="5"/>
      <c r="D533" s="5"/>
      <c r="E533" s="5"/>
      <c r="F533" s="5"/>
      <c r="G533" s="6" t="s">
        <v>377</v>
      </c>
      <c r="H533" s="6"/>
      <c r="I533" s="7"/>
      <c r="J533" s="7"/>
      <c r="K533" s="15">
        <f>SUM(K534:K536)</f>
        <v>302.82</v>
      </c>
    </row>
    <row r="534" customHeight="1" spans="1:11">
      <c r="A534" s="6"/>
      <c r="B534" s="5" t="s">
        <v>324</v>
      </c>
      <c r="C534" s="5"/>
      <c r="D534" s="5"/>
      <c r="E534" s="5"/>
      <c r="F534" s="5"/>
      <c r="G534" s="6" t="s">
        <v>378</v>
      </c>
      <c r="H534" s="6"/>
      <c r="I534" s="7">
        <f>I522</f>
        <v>59</v>
      </c>
      <c r="J534" s="15">
        <v>4</v>
      </c>
      <c r="K534" s="15">
        <f t="shared" ref="K534:K538" si="38">ROUND(I534*J534,2)</f>
        <v>236</v>
      </c>
    </row>
    <row r="535" customHeight="1" spans="1:11">
      <c r="A535" s="6"/>
      <c r="B535" s="5" t="s">
        <v>390</v>
      </c>
      <c r="C535" s="5"/>
      <c r="D535" s="5"/>
      <c r="E535" s="5"/>
      <c r="F535" s="5"/>
      <c r="G535" s="6" t="s">
        <v>378</v>
      </c>
      <c r="H535" s="6"/>
      <c r="I535" s="7">
        <f>I526*2.7</f>
        <v>2.322</v>
      </c>
      <c r="J535" s="15">
        <v>4</v>
      </c>
      <c r="K535" s="15">
        <f t="shared" si="38"/>
        <v>9.29</v>
      </c>
    </row>
    <row r="536" customHeight="1" spans="1:11">
      <c r="A536" s="6"/>
      <c r="B536" s="5" t="s">
        <v>293</v>
      </c>
      <c r="C536" s="5" t="s">
        <v>294</v>
      </c>
      <c r="D536" s="5"/>
      <c r="E536" s="5"/>
      <c r="F536" s="5"/>
      <c r="G536" s="6" t="s">
        <v>285</v>
      </c>
      <c r="H536" s="6"/>
      <c r="I536" s="7">
        <f>I526*14.9</f>
        <v>12.814</v>
      </c>
      <c r="J536" s="15">
        <v>4.49</v>
      </c>
      <c r="K536" s="15">
        <f t="shared" si="38"/>
        <v>57.53</v>
      </c>
    </row>
    <row r="537" customHeight="1" spans="1:11">
      <c r="A537" s="6" t="s">
        <v>227</v>
      </c>
      <c r="B537" s="5" t="s">
        <v>208</v>
      </c>
      <c r="C537" s="5"/>
      <c r="D537" s="5"/>
      <c r="E537" s="5"/>
      <c r="F537" s="5"/>
      <c r="G537" s="6" t="s">
        <v>377</v>
      </c>
      <c r="H537" s="6"/>
      <c r="I537" s="7" t="str">
        <f>'工程单价费(税)率汇总表'!I8&amp;"%"</f>
        <v>0%</v>
      </c>
      <c r="J537" s="15">
        <f>K520+K530+K531+K532+K533</f>
        <v>807.5</v>
      </c>
      <c r="K537" s="15">
        <f t="shared" si="38"/>
        <v>0</v>
      </c>
    </row>
    <row r="538" customHeight="1" spans="1:11">
      <c r="A538" s="6" t="s">
        <v>223</v>
      </c>
      <c r="B538" s="5" t="s">
        <v>209</v>
      </c>
      <c r="C538" s="5"/>
      <c r="D538" s="5"/>
      <c r="E538" s="5"/>
      <c r="F538" s="5"/>
      <c r="G538" s="6" t="s">
        <v>377</v>
      </c>
      <c r="H538" s="6"/>
      <c r="I538" s="7" t="str">
        <f>'工程单价费(税)率汇总表'!J8&amp;"%"</f>
        <v>9%</v>
      </c>
      <c r="J538" s="15">
        <f>K520+K530+K531+K532+K533+K537</f>
        <v>807.5</v>
      </c>
      <c r="K538" s="15">
        <f t="shared" si="38"/>
        <v>72.68</v>
      </c>
    </row>
    <row r="539" customHeight="1" spans="1:11">
      <c r="A539" s="6"/>
      <c r="B539" s="5" t="s">
        <v>61</v>
      </c>
      <c r="C539" s="5"/>
      <c r="D539" s="5"/>
      <c r="E539" s="5"/>
      <c r="F539" s="5"/>
      <c r="G539" s="6" t="s">
        <v>377</v>
      </c>
      <c r="H539" s="6"/>
      <c r="I539" s="7"/>
      <c r="J539" s="7"/>
      <c r="K539" s="15">
        <f>K520+K530+K531+K532+K533+K537+K538</f>
        <v>880.18</v>
      </c>
    </row>
    <row r="540" customHeight="1" spans="1:11">
      <c r="A540" s="6"/>
      <c r="B540" s="5" t="s">
        <v>391</v>
      </c>
      <c r="C540" s="5"/>
      <c r="D540" s="5"/>
      <c r="E540" s="5"/>
      <c r="F540" s="5"/>
      <c r="G540" s="6" t="s">
        <v>377</v>
      </c>
      <c r="H540" s="6"/>
      <c r="I540" s="7"/>
      <c r="J540" s="7"/>
      <c r="K540" s="15">
        <f>ROUND(K539/100,2)</f>
        <v>8.8</v>
      </c>
    </row>
    <row r="541" customHeight="1" spans="1:11">
      <c r="A541" s="6"/>
      <c r="B541" s="5"/>
      <c r="C541" s="5"/>
      <c r="D541" s="5"/>
      <c r="E541" s="5"/>
      <c r="F541" s="5"/>
      <c r="G541" s="6"/>
      <c r="H541" s="6"/>
      <c r="I541" s="7"/>
      <c r="J541" s="7"/>
      <c r="K541" s="7"/>
    </row>
    <row r="542" customHeight="1" spans="1:11">
      <c r="A542" s="6"/>
      <c r="B542" s="5"/>
      <c r="C542" s="5"/>
      <c r="D542" s="5"/>
      <c r="E542" s="5"/>
      <c r="F542" s="5"/>
      <c r="G542" s="6"/>
      <c r="H542" s="6"/>
      <c r="I542" s="7"/>
      <c r="J542" s="7"/>
      <c r="K542" s="7"/>
    </row>
    <row r="543" customHeight="1" spans="1:11">
      <c r="A543" s="6"/>
      <c r="B543" s="5"/>
      <c r="C543" s="5"/>
      <c r="D543" s="5"/>
      <c r="E543" s="5"/>
      <c r="F543" s="5"/>
      <c r="G543" s="6"/>
      <c r="H543" s="6"/>
      <c r="I543" s="7"/>
      <c r="J543" s="7"/>
      <c r="K543" s="7"/>
    </row>
    <row r="544" customHeight="1" spans="1:11">
      <c r="A544" s="6"/>
      <c r="B544" s="5"/>
      <c r="C544" s="5"/>
      <c r="D544" s="5"/>
      <c r="E544" s="5"/>
      <c r="F544" s="5"/>
      <c r="G544" s="6"/>
      <c r="H544" s="6"/>
      <c r="I544" s="7"/>
      <c r="J544" s="7"/>
      <c r="K544" s="7"/>
    </row>
    <row r="545" customHeight="1" spans="1:11">
      <c r="A545" s="6"/>
      <c r="B545" s="5"/>
      <c r="C545" s="5"/>
      <c r="D545" s="5"/>
      <c r="E545" s="5"/>
      <c r="F545" s="5"/>
      <c r="G545" s="6"/>
      <c r="H545" s="6"/>
      <c r="I545" s="7"/>
      <c r="J545" s="7"/>
      <c r="K545" s="7"/>
    </row>
    <row r="546" customHeight="1" spans="1:11">
      <c r="A546" s="6"/>
      <c r="B546" s="5"/>
      <c r="C546" s="5"/>
      <c r="D546" s="5"/>
      <c r="E546" s="5"/>
      <c r="F546" s="5"/>
      <c r="G546" s="6"/>
      <c r="H546" s="6"/>
      <c r="I546" s="7"/>
      <c r="J546" s="7"/>
      <c r="K546" s="7"/>
    </row>
    <row r="547" customHeight="1" spans="1:11">
      <c r="A547" s="6"/>
      <c r="B547" s="5"/>
      <c r="C547" s="5"/>
      <c r="D547" s="5"/>
      <c r="E547" s="5"/>
      <c r="F547" s="5"/>
      <c r="G547" s="6"/>
      <c r="H547" s="6"/>
      <c r="I547" s="7"/>
      <c r="J547" s="7"/>
      <c r="K547" s="7"/>
    </row>
    <row r="548" customHeight="1" spans="1:11">
      <c r="A548" s="6"/>
      <c r="B548" s="5"/>
      <c r="C548" s="5"/>
      <c r="D548" s="5"/>
      <c r="E548" s="5"/>
      <c r="F548" s="5"/>
      <c r="G548" s="6"/>
      <c r="H548" s="6"/>
      <c r="I548" s="7"/>
      <c r="J548" s="7"/>
      <c r="K548" s="7"/>
    </row>
    <row r="549" customHeight="1" spans="1:11">
      <c r="A549" s="6"/>
      <c r="B549" s="5"/>
      <c r="C549" s="5"/>
      <c r="D549" s="5"/>
      <c r="E549" s="5"/>
      <c r="F549" s="5"/>
      <c r="G549" s="6"/>
      <c r="H549" s="6"/>
      <c r="I549" s="7"/>
      <c r="J549" s="7"/>
      <c r="K549" s="7"/>
    </row>
    <row r="550" customHeight="1" spans="1:11">
      <c r="A550" s="6"/>
      <c r="B550" s="5"/>
      <c r="C550" s="5"/>
      <c r="D550" s="5"/>
      <c r="E550" s="5"/>
      <c r="F550" s="5"/>
      <c r="G550" s="6"/>
      <c r="H550" s="6"/>
      <c r="I550" s="7"/>
      <c r="J550" s="7"/>
      <c r="K550" s="7"/>
    </row>
    <row r="551" ht="7.5" customHeight="1" spans="1:11">
      <c r="A551" s="3"/>
      <c r="B551" s="3"/>
      <c r="C551" s="3"/>
      <c r="D551" s="3"/>
      <c r="E551" s="3"/>
      <c r="F551" s="3"/>
      <c r="G551" s="3"/>
      <c r="H551" s="3"/>
      <c r="I551" s="3"/>
      <c r="J551" s="3"/>
      <c r="K551" s="3"/>
    </row>
    <row r="552" ht="26.25" customHeight="1" spans="1:11">
      <c r="A552" s="2" t="s">
        <v>367</v>
      </c>
      <c r="B552" s="2"/>
      <c r="C552" s="2"/>
      <c r="D552" s="2"/>
      <c r="E552" s="2"/>
      <c r="F552" s="2"/>
      <c r="G552" s="2"/>
      <c r="H552" s="2"/>
      <c r="I552" s="2"/>
      <c r="J552" s="2"/>
      <c r="K552" s="2"/>
    </row>
    <row r="553" customHeight="1" spans="1:11">
      <c r="A553" s="11" t="s">
        <v>435</v>
      </c>
      <c r="B553" s="11"/>
      <c r="C553" s="11"/>
      <c r="D553" s="11"/>
      <c r="E553" s="11"/>
      <c r="F553" s="11"/>
      <c r="G553" s="11"/>
      <c r="H553" s="11"/>
      <c r="I553" s="11"/>
      <c r="J553" s="11"/>
      <c r="K553" s="11"/>
    </row>
    <row r="554" customHeight="1" spans="1:11">
      <c r="A554" s="8" t="s">
        <v>369</v>
      </c>
      <c r="B554" s="3" t="s">
        <v>436</v>
      </c>
      <c r="C554" s="3"/>
      <c r="D554" s="3"/>
      <c r="E554" s="3"/>
      <c r="F554" s="3"/>
      <c r="G554" s="3"/>
      <c r="H554" s="12" t="s">
        <v>393</v>
      </c>
      <c r="I554" s="12"/>
      <c r="J554" s="12"/>
      <c r="K554" s="12"/>
    </row>
    <row r="555" ht="40.5" customHeight="1" spans="1:11">
      <c r="A555" s="13" t="s">
        <v>371</v>
      </c>
      <c r="B555" s="14" t="s">
        <v>437</v>
      </c>
      <c r="C555" s="14"/>
      <c r="D555" s="14"/>
      <c r="E555" s="14"/>
      <c r="F555" s="14"/>
      <c r="G555" s="14"/>
      <c r="H555" s="14"/>
      <c r="I555" s="14"/>
      <c r="J555" s="14"/>
      <c r="K555" s="14"/>
    </row>
    <row r="556" customHeight="1" spans="1:11">
      <c r="A556" s="6" t="s">
        <v>48</v>
      </c>
      <c r="B556" s="6" t="s">
        <v>254</v>
      </c>
      <c r="C556" s="6" t="s">
        <v>255</v>
      </c>
      <c r="D556" s="6"/>
      <c r="E556" s="6"/>
      <c r="F556" s="6"/>
      <c r="G556" s="6" t="s">
        <v>282</v>
      </c>
      <c r="H556" s="6"/>
      <c r="I556" s="6" t="s">
        <v>373</v>
      </c>
      <c r="J556" s="6" t="s">
        <v>374</v>
      </c>
      <c r="K556" s="6" t="s">
        <v>375</v>
      </c>
    </row>
    <row r="557" customHeight="1" spans="1:11">
      <c r="A557" s="6" t="s">
        <v>51</v>
      </c>
      <c r="B557" s="5" t="s">
        <v>376</v>
      </c>
      <c r="C557" s="5"/>
      <c r="D557" s="5"/>
      <c r="E557" s="5"/>
      <c r="F557" s="5"/>
      <c r="G557" s="6" t="s">
        <v>377</v>
      </c>
      <c r="H557" s="6"/>
      <c r="I557" s="7"/>
      <c r="J557" s="7"/>
      <c r="K557" s="15">
        <f>K558+K561+K564+K570+K571</f>
        <v>1656.26</v>
      </c>
    </row>
    <row r="558" customHeight="1" spans="1:11">
      <c r="A558" s="6" t="s">
        <v>72</v>
      </c>
      <c r="B558" s="5" t="s">
        <v>199</v>
      </c>
      <c r="C558" s="5"/>
      <c r="D558" s="5"/>
      <c r="E558" s="5"/>
      <c r="F558" s="5"/>
      <c r="G558" s="6" t="s">
        <v>377</v>
      </c>
      <c r="H558" s="6"/>
      <c r="I558" s="7"/>
      <c r="J558" s="7"/>
      <c r="K558" s="15">
        <f>SUM(K559:K560)</f>
        <v>224.9</v>
      </c>
    </row>
    <row r="559" customHeight="1" spans="1:11">
      <c r="A559" s="6"/>
      <c r="B559" s="5" t="s">
        <v>324</v>
      </c>
      <c r="C559" s="5"/>
      <c r="D559" s="5"/>
      <c r="E559" s="5"/>
      <c r="F559" s="5"/>
      <c r="G559" s="6" t="s">
        <v>378</v>
      </c>
      <c r="H559" s="6"/>
      <c r="I559" s="7">
        <v>59</v>
      </c>
      <c r="J559" s="15">
        <v>3.46</v>
      </c>
      <c r="K559" s="15">
        <f>ROUND(I559*J559,2)</f>
        <v>204.14</v>
      </c>
    </row>
    <row r="560" customHeight="1" spans="1:11">
      <c r="A560" s="6"/>
      <c r="B560" s="5" t="s">
        <v>324</v>
      </c>
      <c r="C560" s="5"/>
      <c r="D560" s="5"/>
      <c r="E560" s="5"/>
      <c r="F560" s="5"/>
      <c r="G560" s="6" t="s">
        <v>378</v>
      </c>
      <c r="H560" s="6"/>
      <c r="I560" s="7">
        <v>6</v>
      </c>
      <c r="J560" s="15">
        <v>3.46</v>
      </c>
      <c r="K560" s="15">
        <f>ROUND(I560*J560,2)</f>
        <v>20.76</v>
      </c>
    </row>
    <row r="561" customHeight="1" spans="1:11">
      <c r="A561" s="6" t="s">
        <v>131</v>
      </c>
      <c r="B561" s="5" t="s">
        <v>200</v>
      </c>
      <c r="C561" s="5"/>
      <c r="D561" s="5"/>
      <c r="E561" s="5"/>
      <c r="F561" s="5"/>
      <c r="G561" s="6" t="s">
        <v>377</v>
      </c>
      <c r="H561" s="6"/>
      <c r="I561" s="7"/>
      <c r="J561" s="7"/>
      <c r="K561" s="15">
        <f>SUM(K562:K563)</f>
        <v>91.58</v>
      </c>
    </row>
    <row r="562" customHeight="1" spans="1:11">
      <c r="A562" s="6"/>
      <c r="B562" s="5" t="s">
        <v>379</v>
      </c>
      <c r="C562" s="5"/>
      <c r="D562" s="5"/>
      <c r="E562" s="5"/>
      <c r="F562" s="5"/>
      <c r="G562" s="6" t="s">
        <v>380</v>
      </c>
      <c r="H562" s="6"/>
      <c r="I562" s="7">
        <v>15</v>
      </c>
      <c r="J562" s="15">
        <f>K559+K565+K566</f>
        <v>310.74</v>
      </c>
      <c r="K562" s="15">
        <f>ROUND(I562*J562/100,2)</f>
        <v>46.61</v>
      </c>
    </row>
    <row r="563" customHeight="1" spans="1:11">
      <c r="A563" s="6"/>
      <c r="B563" s="5" t="s">
        <v>379</v>
      </c>
      <c r="C563" s="5"/>
      <c r="D563" s="5"/>
      <c r="E563" s="5"/>
      <c r="F563" s="5"/>
      <c r="G563" s="6" t="s">
        <v>380</v>
      </c>
      <c r="H563" s="6"/>
      <c r="I563" s="7">
        <v>4</v>
      </c>
      <c r="J563" s="15">
        <f>K560+K567+K568+K569</f>
        <v>1124.19</v>
      </c>
      <c r="K563" s="15">
        <f>ROUND(I563*J563/100,2)</f>
        <v>44.97</v>
      </c>
    </row>
    <row r="564" customHeight="1" spans="1:11">
      <c r="A564" s="6" t="s">
        <v>381</v>
      </c>
      <c r="B564" s="5" t="s">
        <v>382</v>
      </c>
      <c r="C564" s="5"/>
      <c r="D564" s="5"/>
      <c r="E564" s="5"/>
      <c r="F564" s="5"/>
      <c r="G564" s="6" t="s">
        <v>377</v>
      </c>
      <c r="H564" s="6"/>
      <c r="I564" s="7"/>
      <c r="J564" s="7"/>
      <c r="K564" s="15">
        <f>SUM(K565:K569)</f>
        <v>1210.03</v>
      </c>
    </row>
    <row r="565" customHeight="1" spans="1:11">
      <c r="A565" s="6"/>
      <c r="B565" s="5" t="s">
        <v>325</v>
      </c>
      <c r="C565" s="5" t="s">
        <v>326</v>
      </c>
      <c r="D565" s="5"/>
      <c r="E565" s="5"/>
      <c r="F565" s="5"/>
      <c r="G565" s="6" t="s">
        <v>383</v>
      </c>
      <c r="H565" s="6"/>
      <c r="I565" s="7">
        <v>0.86</v>
      </c>
      <c r="J565" s="15">
        <f>施工机械台时费汇总表!P8</f>
        <v>112.25</v>
      </c>
      <c r="K565" s="15">
        <f t="shared" ref="K565:K574" si="39">ROUND(I565*J565,2)</f>
        <v>96.54</v>
      </c>
    </row>
    <row r="566" customHeight="1" spans="1:11">
      <c r="A566" s="6"/>
      <c r="B566" s="5" t="s">
        <v>352</v>
      </c>
      <c r="C566" s="5"/>
      <c r="D566" s="5"/>
      <c r="E566" s="5"/>
      <c r="F566" s="5"/>
      <c r="G566" s="6" t="s">
        <v>383</v>
      </c>
      <c r="H566" s="6"/>
      <c r="I566" s="7">
        <v>12.27</v>
      </c>
      <c r="J566" s="15">
        <f>施工机械台时费汇总表!P22</f>
        <v>0.82</v>
      </c>
      <c r="K566" s="15">
        <f t="shared" si="39"/>
        <v>10.06</v>
      </c>
    </row>
    <row r="567" customHeight="1" spans="1:11">
      <c r="A567" s="6"/>
      <c r="B567" s="5" t="s">
        <v>325</v>
      </c>
      <c r="C567" s="5" t="s">
        <v>326</v>
      </c>
      <c r="D567" s="5"/>
      <c r="E567" s="5"/>
      <c r="F567" s="5"/>
      <c r="G567" s="6" t="s">
        <v>383</v>
      </c>
      <c r="H567" s="6"/>
      <c r="I567" s="7">
        <v>1</v>
      </c>
      <c r="J567" s="15">
        <f>施工机械台时费汇总表!P8</f>
        <v>112.25</v>
      </c>
      <c r="K567" s="15">
        <f t="shared" si="39"/>
        <v>112.25</v>
      </c>
    </row>
    <row r="568" customHeight="1" spans="1:11">
      <c r="A568" s="6"/>
      <c r="B568" s="5" t="s">
        <v>327</v>
      </c>
      <c r="C568" s="5" t="s">
        <v>329</v>
      </c>
      <c r="D568" s="5"/>
      <c r="E568" s="5"/>
      <c r="F568" s="5"/>
      <c r="G568" s="6" t="s">
        <v>383</v>
      </c>
      <c r="H568" s="6"/>
      <c r="I568" s="7">
        <v>0.5</v>
      </c>
      <c r="J568" s="15">
        <f>施工机械台时费汇总表!P10</f>
        <v>55.49</v>
      </c>
      <c r="K568" s="15">
        <f t="shared" si="39"/>
        <v>27.75</v>
      </c>
    </row>
    <row r="569" customHeight="1" spans="1:11">
      <c r="A569" s="6"/>
      <c r="B569" s="5" t="s">
        <v>350</v>
      </c>
      <c r="C569" s="5" t="s">
        <v>348</v>
      </c>
      <c r="D569" s="5"/>
      <c r="E569" s="5"/>
      <c r="F569" s="5"/>
      <c r="G569" s="6" t="s">
        <v>383</v>
      </c>
      <c r="H569" s="6"/>
      <c r="I569" s="7">
        <v>20.84</v>
      </c>
      <c r="J569" s="15">
        <f>施工机械台时费汇总表!P21</f>
        <v>46.23</v>
      </c>
      <c r="K569" s="15">
        <f t="shared" si="39"/>
        <v>963.43</v>
      </c>
    </row>
    <row r="570" customHeight="1" spans="1:11">
      <c r="A570" s="6" t="s">
        <v>384</v>
      </c>
      <c r="B570" s="5" t="s">
        <v>385</v>
      </c>
      <c r="C570" s="5"/>
      <c r="D570" s="5"/>
      <c r="E570" s="5"/>
      <c r="F570" s="5"/>
      <c r="G570" s="6" t="s">
        <v>377</v>
      </c>
      <c r="H570" s="6"/>
      <c r="I570" s="7" t="str">
        <f>'工程单价费(税)率汇总表'!D8&amp;"%"</f>
        <v>4.5%</v>
      </c>
      <c r="J570" s="15">
        <f>K558+K561+K564</f>
        <v>1526.51</v>
      </c>
      <c r="K570" s="15">
        <f t="shared" si="39"/>
        <v>68.69</v>
      </c>
    </row>
    <row r="571" customHeight="1" spans="1:11">
      <c r="A571" s="6" t="s">
        <v>386</v>
      </c>
      <c r="B571" s="5" t="s">
        <v>387</v>
      </c>
      <c r="C571" s="5"/>
      <c r="D571" s="5"/>
      <c r="E571" s="5"/>
      <c r="F571" s="5"/>
      <c r="G571" s="6" t="s">
        <v>377</v>
      </c>
      <c r="H571" s="6"/>
      <c r="I571" s="7" t="str">
        <f>'工程单价费(税)率汇总表'!E8&amp;"%"</f>
        <v>4%</v>
      </c>
      <c r="J571" s="15">
        <f>K558+K561+K564</f>
        <v>1526.51</v>
      </c>
      <c r="K571" s="15">
        <f t="shared" si="39"/>
        <v>61.06</v>
      </c>
    </row>
    <row r="572" customHeight="1" spans="1:11">
      <c r="A572" s="6" t="s">
        <v>53</v>
      </c>
      <c r="B572" s="5" t="s">
        <v>388</v>
      </c>
      <c r="C572" s="5"/>
      <c r="D572" s="5"/>
      <c r="E572" s="5"/>
      <c r="F572" s="5"/>
      <c r="G572" s="6" t="s">
        <v>377</v>
      </c>
      <c r="H572" s="6"/>
      <c r="I572" s="7" t="str">
        <f>'工程单价费(税)率汇总表'!F8&amp;"%"</f>
        <v>3.7%</v>
      </c>
      <c r="J572" s="15">
        <f>K557</f>
        <v>1656.26</v>
      </c>
      <c r="K572" s="15">
        <f t="shared" si="39"/>
        <v>61.28</v>
      </c>
    </row>
    <row r="573" customHeight="1" spans="1:11">
      <c r="A573" s="6" t="s">
        <v>55</v>
      </c>
      <c r="B573" s="5" t="s">
        <v>216</v>
      </c>
      <c r="C573" s="5"/>
      <c r="D573" s="5"/>
      <c r="E573" s="5"/>
      <c r="F573" s="5"/>
      <c r="G573" s="6" t="s">
        <v>377</v>
      </c>
      <c r="H573" s="6"/>
      <c r="I573" s="7" t="str">
        <f>'工程单价费(税)率汇总表'!G8&amp;"%"</f>
        <v>32.8%</v>
      </c>
      <c r="J573" s="15">
        <f>K558+ROUND(I565*2.7*3.46,2)+ROUND(I567*2.7*3.46,2)+ROUND(I568*2.4*3.46,2)+ROUND(I569*1.3*3.46,2)</f>
        <v>340.16</v>
      </c>
      <c r="K573" s="15">
        <f t="shared" si="39"/>
        <v>111.57</v>
      </c>
    </row>
    <row r="574" customHeight="1" spans="1:11">
      <c r="A574" s="6" t="s">
        <v>57</v>
      </c>
      <c r="B574" s="5" t="s">
        <v>389</v>
      </c>
      <c r="C574" s="5"/>
      <c r="D574" s="5"/>
      <c r="E574" s="5"/>
      <c r="F574" s="5"/>
      <c r="G574" s="6" t="s">
        <v>377</v>
      </c>
      <c r="H574" s="6"/>
      <c r="I574" s="7" t="str">
        <f>'工程单价费(税)率汇总表'!H8&amp;"%"</f>
        <v>7%</v>
      </c>
      <c r="J574" s="15">
        <f>K557+K572+K573</f>
        <v>1829.11</v>
      </c>
      <c r="K574" s="15">
        <f t="shared" si="39"/>
        <v>128.04</v>
      </c>
    </row>
    <row r="575" customHeight="1" spans="1:11">
      <c r="A575" s="6" t="s">
        <v>59</v>
      </c>
      <c r="B575" s="5" t="s">
        <v>207</v>
      </c>
      <c r="C575" s="5"/>
      <c r="D575" s="5"/>
      <c r="E575" s="5"/>
      <c r="F575" s="5"/>
      <c r="G575" s="6" t="s">
        <v>377</v>
      </c>
      <c r="H575" s="6"/>
      <c r="I575" s="7"/>
      <c r="J575" s="7"/>
      <c r="K575" s="15">
        <f>SUM(K576:K578)</f>
        <v>1388.06</v>
      </c>
    </row>
    <row r="576" customHeight="1" spans="1:11">
      <c r="A576" s="6"/>
      <c r="B576" s="5" t="s">
        <v>324</v>
      </c>
      <c r="C576" s="5"/>
      <c r="D576" s="5"/>
      <c r="E576" s="5"/>
      <c r="F576" s="5"/>
      <c r="G576" s="6" t="s">
        <v>378</v>
      </c>
      <c r="H576" s="6"/>
      <c r="I576" s="7">
        <f>I559+I560</f>
        <v>65</v>
      </c>
      <c r="J576" s="15">
        <v>4</v>
      </c>
      <c r="K576" s="15">
        <f t="shared" ref="K576:K580" si="40">ROUND(I576*J576,2)</f>
        <v>260</v>
      </c>
    </row>
    <row r="577" customHeight="1" spans="1:11">
      <c r="A577" s="6"/>
      <c r="B577" s="5" t="s">
        <v>390</v>
      </c>
      <c r="C577" s="5"/>
      <c r="D577" s="5"/>
      <c r="E577" s="5"/>
      <c r="F577" s="5"/>
      <c r="G577" s="6" t="s">
        <v>378</v>
      </c>
      <c r="H577" s="6"/>
      <c r="I577" s="7">
        <f>I565*2.7+I567*2.7+I568*2.4+I569*1.3</f>
        <v>33.314</v>
      </c>
      <c r="J577" s="15">
        <v>4</v>
      </c>
      <c r="K577" s="15">
        <f t="shared" si="40"/>
        <v>133.26</v>
      </c>
    </row>
    <row r="578" customHeight="1" spans="1:11">
      <c r="A578" s="6"/>
      <c r="B578" s="5" t="s">
        <v>293</v>
      </c>
      <c r="C578" s="5" t="s">
        <v>294</v>
      </c>
      <c r="D578" s="5"/>
      <c r="E578" s="5"/>
      <c r="F578" s="5"/>
      <c r="G578" s="6" t="s">
        <v>285</v>
      </c>
      <c r="H578" s="6"/>
      <c r="I578" s="7">
        <f>I565*14.9+I567*14.9+I568*8.4+I569*9.1</f>
        <v>221.558</v>
      </c>
      <c r="J578" s="15">
        <v>4.49</v>
      </c>
      <c r="K578" s="15">
        <f t="shared" si="40"/>
        <v>994.8</v>
      </c>
    </row>
    <row r="579" customHeight="1" spans="1:11">
      <c r="A579" s="6" t="s">
        <v>227</v>
      </c>
      <c r="B579" s="5" t="s">
        <v>208</v>
      </c>
      <c r="C579" s="5"/>
      <c r="D579" s="5"/>
      <c r="E579" s="5"/>
      <c r="F579" s="5"/>
      <c r="G579" s="6" t="s">
        <v>377</v>
      </c>
      <c r="H579" s="6"/>
      <c r="I579" s="7" t="str">
        <f>'工程单价费(税)率汇总表'!I8&amp;"%"</f>
        <v>0%</v>
      </c>
      <c r="J579" s="15">
        <f>K557+K572+K573+K574+K575</f>
        <v>3345.21</v>
      </c>
      <c r="K579" s="15">
        <f t="shared" si="40"/>
        <v>0</v>
      </c>
    </row>
    <row r="580" customHeight="1" spans="1:11">
      <c r="A580" s="6" t="s">
        <v>223</v>
      </c>
      <c r="B580" s="5" t="s">
        <v>209</v>
      </c>
      <c r="C580" s="5"/>
      <c r="D580" s="5"/>
      <c r="E580" s="5"/>
      <c r="F580" s="5"/>
      <c r="G580" s="6" t="s">
        <v>377</v>
      </c>
      <c r="H580" s="6"/>
      <c r="I580" s="7" t="str">
        <f>'工程单价费(税)率汇总表'!J8&amp;"%"</f>
        <v>9%</v>
      </c>
      <c r="J580" s="15">
        <f>K557+K572+K573+K574+K575+K579</f>
        <v>3345.21</v>
      </c>
      <c r="K580" s="15">
        <f t="shared" si="40"/>
        <v>301.07</v>
      </c>
    </row>
    <row r="581" customHeight="1" spans="1:11">
      <c r="A581" s="6"/>
      <c r="B581" s="5" t="s">
        <v>61</v>
      </c>
      <c r="C581" s="5"/>
      <c r="D581" s="5"/>
      <c r="E581" s="5"/>
      <c r="F581" s="5"/>
      <c r="G581" s="6" t="s">
        <v>377</v>
      </c>
      <c r="H581" s="6"/>
      <c r="I581" s="7"/>
      <c r="J581" s="7"/>
      <c r="K581" s="15">
        <f>K557+K572+K573+K574+K575+K579+K580</f>
        <v>3646.28</v>
      </c>
    </row>
    <row r="582" customHeight="1" spans="1:11">
      <c r="A582" s="6"/>
      <c r="B582" s="5" t="s">
        <v>391</v>
      </c>
      <c r="C582" s="5"/>
      <c r="D582" s="5"/>
      <c r="E582" s="5"/>
      <c r="F582" s="5"/>
      <c r="G582" s="6" t="s">
        <v>377</v>
      </c>
      <c r="H582" s="6"/>
      <c r="I582" s="7"/>
      <c r="J582" s="7"/>
      <c r="K582" s="15">
        <f>ROUND(K581/100,2)</f>
        <v>36.46</v>
      </c>
    </row>
    <row r="583" customHeight="1" spans="1:11">
      <c r="A583" s="6"/>
      <c r="B583" s="5"/>
      <c r="C583" s="5"/>
      <c r="D583" s="5"/>
      <c r="E583" s="5"/>
      <c r="F583" s="5"/>
      <c r="G583" s="6"/>
      <c r="H583" s="6"/>
      <c r="I583" s="7"/>
      <c r="J583" s="7"/>
      <c r="K583" s="7"/>
    </row>
    <row r="584" customHeight="1" spans="1:11">
      <c r="A584" s="6"/>
      <c r="B584" s="5"/>
      <c r="C584" s="5"/>
      <c r="D584" s="5"/>
      <c r="E584" s="5"/>
      <c r="F584" s="5"/>
      <c r="G584" s="6"/>
      <c r="H584" s="6"/>
      <c r="I584" s="7"/>
      <c r="J584" s="7"/>
      <c r="K584" s="7"/>
    </row>
    <row r="585" customHeight="1" spans="1:11">
      <c r="A585" s="6"/>
      <c r="B585" s="5"/>
      <c r="C585" s="5"/>
      <c r="D585" s="5"/>
      <c r="E585" s="5"/>
      <c r="F585" s="5"/>
      <c r="G585" s="6"/>
      <c r="H585" s="6"/>
      <c r="I585" s="7"/>
      <c r="J585" s="7"/>
      <c r="K585" s="7"/>
    </row>
    <row r="586" customHeight="1" spans="1:11">
      <c r="A586" s="6"/>
      <c r="B586" s="5"/>
      <c r="C586" s="5"/>
      <c r="D586" s="5"/>
      <c r="E586" s="5"/>
      <c r="F586" s="5"/>
      <c r="G586" s="6"/>
      <c r="H586" s="6"/>
      <c r="I586" s="7"/>
      <c r="J586" s="7"/>
      <c r="K586" s="7"/>
    </row>
    <row r="587" ht="7.5" customHeight="1" spans="1:11">
      <c r="A587" s="3"/>
      <c r="B587" s="3"/>
      <c r="C587" s="3"/>
      <c r="D587" s="3"/>
      <c r="E587" s="3"/>
      <c r="F587" s="3"/>
      <c r="G587" s="3"/>
      <c r="H587" s="3"/>
      <c r="I587" s="3"/>
      <c r="J587" s="3"/>
      <c r="K587" s="3"/>
    </row>
    <row r="588" ht="26.25" customHeight="1" spans="1:11">
      <c r="A588" s="2" t="s">
        <v>367</v>
      </c>
      <c r="B588" s="2"/>
      <c r="C588" s="2"/>
      <c r="D588" s="2"/>
      <c r="E588" s="2"/>
      <c r="F588" s="2"/>
      <c r="G588" s="2"/>
      <c r="H588" s="2"/>
      <c r="I588" s="2"/>
      <c r="J588" s="2"/>
      <c r="K588" s="2"/>
    </row>
    <row r="589" customHeight="1" spans="1:11">
      <c r="A589" s="11" t="s">
        <v>438</v>
      </c>
      <c r="B589" s="11"/>
      <c r="C589" s="11"/>
      <c r="D589" s="11"/>
      <c r="E589" s="11"/>
      <c r="F589" s="11"/>
      <c r="G589" s="11"/>
      <c r="H589" s="11"/>
      <c r="I589" s="11"/>
      <c r="J589" s="11"/>
      <c r="K589" s="11"/>
    </row>
    <row r="590" customHeight="1" spans="1:11">
      <c r="A590" s="8" t="s">
        <v>369</v>
      </c>
      <c r="B590" s="3" t="s">
        <v>439</v>
      </c>
      <c r="C590" s="3"/>
      <c r="D590" s="3"/>
      <c r="E590" s="3"/>
      <c r="F590" s="3"/>
      <c r="G590" s="3"/>
      <c r="H590" s="12" t="s">
        <v>393</v>
      </c>
      <c r="I590" s="12"/>
      <c r="J590" s="12"/>
      <c r="K590" s="12"/>
    </row>
    <row r="591" ht="27.75" customHeight="1" spans="1:11">
      <c r="A591" s="13" t="s">
        <v>371</v>
      </c>
      <c r="B591" s="14" t="s">
        <v>398</v>
      </c>
      <c r="C591" s="14"/>
      <c r="D591" s="14"/>
      <c r="E591" s="14"/>
      <c r="F591" s="14"/>
      <c r="G591" s="14"/>
      <c r="H591" s="14"/>
      <c r="I591" s="14"/>
      <c r="J591" s="14"/>
      <c r="K591" s="14"/>
    </row>
    <row r="592" customHeight="1" spans="1:11">
      <c r="A592" s="6" t="s">
        <v>48</v>
      </c>
      <c r="B592" s="6" t="s">
        <v>254</v>
      </c>
      <c r="C592" s="6" t="s">
        <v>255</v>
      </c>
      <c r="D592" s="6"/>
      <c r="E592" s="6"/>
      <c r="F592" s="6"/>
      <c r="G592" s="6" t="s">
        <v>282</v>
      </c>
      <c r="H592" s="6"/>
      <c r="I592" s="6" t="s">
        <v>373</v>
      </c>
      <c r="J592" s="6" t="s">
        <v>374</v>
      </c>
      <c r="K592" s="6" t="s">
        <v>375</v>
      </c>
    </row>
    <row r="593" customHeight="1" spans="1:11">
      <c r="A593" s="6" t="s">
        <v>51</v>
      </c>
      <c r="B593" s="5" t="s">
        <v>376</v>
      </c>
      <c r="C593" s="5"/>
      <c r="D593" s="5"/>
      <c r="E593" s="5"/>
      <c r="F593" s="5"/>
      <c r="G593" s="6" t="s">
        <v>377</v>
      </c>
      <c r="H593" s="6"/>
      <c r="I593" s="7"/>
      <c r="J593" s="7"/>
      <c r="K593" s="15">
        <f>K594+K596+K598+K602+K603</f>
        <v>1268.54</v>
      </c>
    </row>
    <row r="594" customHeight="1" spans="1:11">
      <c r="A594" s="6" t="s">
        <v>72</v>
      </c>
      <c r="B594" s="5" t="s">
        <v>199</v>
      </c>
      <c r="C594" s="5"/>
      <c r="D594" s="5"/>
      <c r="E594" s="5"/>
      <c r="F594" s="5"/>
      <c r="G594" s="6" t="s">
        <v>377</v>
      </c>
      <c r="H594" s="6"/>
      <c r="I594" s="7"/>
      <c r="J594" s="7"/>
      <c r="K594" s="15">
        <f>SUM(K595:K595)</f>
        <v>20.76</v>
      </c>
    </row>
    <row r="595" customHeight="1" spans="1:11">
      <c r="A595" s="6"/>
      <c r="B595" s="5" t="s">
        <v>324</v>
      </c>
      <c r="C595" s="5"/>
      <c r="D595" s="5"/>
      <c r="E595" s="5"/>
      <c r="F595" s="5"/>
      <c r="G595" s="6" t="s">
        <v>378</v>
      </c>
      <c r="H595" s="6"/>
      <c r="I595" s="7">
        <v>6</v>
      </c>
      <c r="J595" s="15">
        <v>3.46</v>
      </c>
      <c r="K595" s="15">
        <f t="shared" ref="K595:K606" si="41">ROUND(I595*J595,2)</f>
        <v>20.76</v>
      </c>
    </row>
    <row r="596" customHeight="1" spans="1:11">
      <c r="A596" s="6" t="s">
        <v>131</v>
      </c>
      <c r="B596" s="5" t="s">
        <v>200</v>
      </c>
      <c r="C596" s="5"/>
      <c r="D596" s="5"/>
      <c r="E596" s="5"/>
      <c r="F596" s="5"/>
      <c r="G596" s="6" t="s">
        <v>377</v>
      </c>
      <c r="H596" s="6"/>
      <c r="I596" s="7"/>
      <c r="J596" s="7"/>
      <c r="K596" s="15">
        <f>SUM(K597:K597)</f>
        <v>44.97</v>
      </c>
    </row>
    <row r="597" customHeight="1" spans="1:11">
      <c r="A597" s="6"/>
      <c r="B597" s="5" t="s">
        <v>379</v>
      </c>
      <c r="C597" s="5"/>
      <c r="D597" s="5"/>
      <c r="E597" s="5"/>
      <c r="F597" s="5"/>
      <c r="G597" s="6" t="s">
        <v>380</v>
      </c>
      <c r="H597" s="6"/>
      <c r="I597" s="7">
        <v>4</v>
      </c>
      <c r="J597" s="15">
        <f>K595+K599+K600+K601</f>
        <v>1124.19</v>
      </c>
      <c r="K597" s="15">
        <f>ROUND(I597*J597/100,2)</f>
        <v>44.97</v>
      </c>
    </row>
    <row r="598" customHeight="1" spans="1:11">
      <c r="A598" s="6" t="s">
        <v>381</v>
      </c>
      <c r="B598" s="5" t="s">
        <v>382</v>
      </c>
      <c r="C598" s="5"/>
      <c r="D598" s="5"/>
      <c r="E598" s="5"/>
      <c r="F598" s="5"/>
      <c r="G598" s="6" t="s">
        <v>377</v>
      </c>
      <c r="H598" s="6"/>
      <c r="I598" s="7"/>
      <c r="J598" s="7"/>
      <c r="K598" s="15">
        <f>SUM(K599:K601)</f>
        <v>1103.43</v>
      </c>
    </row>
    <row r="599" customHeight="1" spans="1:11">
      <c r="A599" s="6"/>
      <c r="B599" s="5" t="s">
        <v>325</v>
      </c>
      <c r="C599" s="5" t="s">
        <v>326</v>
      </c>
      <c r="D599" s="5"/>
      <c r="E599" s="5"/>
      <c r="F599" s="5"/>
      <c r="G599" s="6" t="s">
        <v>383</v>
      </c>
      <c r="H599" s="6"/>
      <c r="I599" s="7">
        <v>1</v>
      </c>
      <c r="J599" s="15">
        <f>施工机械台时费汇总表!P8</f>
        <v>112.25</v>
      </c>
      <c r="K599" s="15">
        <f t="shared" si="41"/>
        <v>112.25</v>
      </c>
    </row>
    <row r="600" customHeight="1" spans="1:11">
      <c r="A600" s="6"/>
      <c r="B600" s="5" t="s">
        <v>327</v>
      </c>
      <c r="C600" s="5" t="s">
        <v>329</v>
      </c>
      <c r="D600" s="5"/>
      <c r="E600" s="5"/>
      <c r="F600" s="5"/>
      <c r="G600" s="6" t="s">
        <v>383</v>
      </c>
      <c r="H600" s="6"/>
      <c r="I600" s="7">
        <v>0.5</v>
      </c>
      <c r="J600" s="15">
        <f>施工机械台时费汇总表!P10</f>
        <v>55.49</v>
      </c>
      <c r="K600" s="15">
        <f t="shared" si="41"/>
        <v>27.75</v>
      </c>
    </row>
    <row r="601" customHeight="1" spans="1:11">
      <c r="A601" s="6"/>
      <c r="B601" s="5" t="s">
        <v>350</v>
      </c>
      <c r="C601" s="5" t="s">
        <v>348</v>
      </c>
      <c r="D601" s="5"/>
      <c r="E601" s="5"/>
      <c r="F601" s="5"/>
      <c r="G601" s="6" t="s">
        <v>383</v>
      </c>
      <c r="H601" s="6"/>
      <c r="I601" s="7">
        <v>20.84</v>
      </c>
      <c r="J601" s="15">
        <f>施工机械台时费汇总表!P21</f>
        <v>46.23</v>
      </c>
      <c r="K601" s="15">
        <f t="shared" si="41"/>
        <v>963.43</v>
      </c>
    </row>
    <row r="602" customHeight="1" spans="1:11">
      <c r="A602" s="6" t="s">
        <v>384</v>
      </c>
      <c r="B602" s="5" t="s">
        <v>385</v>
      </c>
      <c r="C602" s="5"/>
      <c r="D602" s="5"/>
      <c r="E602" s="5"/>
      <c r="F602" s="5"/>
      <c r="G602" s="6" t="s">
        <v>377</v>
      </c>
      <c r="H602" s="6"/>
      <c r="I602" s="7" t="str">
        <f>'工程单价费(税)率汇总表'!D8&amp;"%"</f>
        <v>4.5%</v>
      </c>
      <c r="J602" s="15">
        <f>K594+K596+K598</f>
        <v>1169.16</v>
      </c>
      <c r="K602" s="15">
        <f t="shared" si="41"/>
        <v>52.61</v>
      </c>
    </row>
    <row r="603" customHeight="1" spans="1:11">
      <c r="A603" s="6" t="s">
        <v>386</v>
      </c>
      <c r="B603" s="5" t="s">
        <v>387</v>
      </c>
      <c r="C603" s="5"/>
      <c r="D603" s="5"/>
      <c r="E603" s="5"/>
      <c r="F603" s="5"/>
      <c r="G603" s="6" t="s">
        <v>377</v>
      </c>
      <c r="H603" s="6"/>
      <c r="I603" s="7" t="str">
        <f>'工程单价费(税)率汇总表'!E8&amp;"%"</f>
        <v>4%</v>
      </c>
      <c r="J603" s="15">
        <f>K594+K596+K598</f>
        <v>1169.16</v>
      </c>
      <c r="K603" s="15">
        <f t="shared" si="41"/>
        <v>46.77</v>
      </c>
    </row>
    <row r="604" customHeight="1" spans="1:11">
      <c r="A604" s="6" t="s">
        <v>53</v>
      </c>
      <c r="B604" s="5" t="s">
        <v>388</v>
      </c>
      <c r="C604" s="5"/>
      <c r="D604" s="5"/>
      <c r="E604" s="5"/>
      <c r="F604" s="5"/>
      <c r="G604" s="6" t="s">
        <v>377</v>
      </c>
      <c r="H604" s="6"/>
      <c r="I604" s="7" t="str">
        <f>'工程单价费(税)率汇总表'!F8&amp;"%"</f>
        <v>3.7%</v>
      </c>
      <c r="J604" s="15">
        <f>K593</f>
        <v>1268.54</v>
      </c>
      <c r="K604" s="15">
        <f t="shared" si="41"/>
        <v>46.94</v>
      </c>
    </row>
    <row r="605" customHeight="1" spans="1:11">
      <c r="A605" s="6" t="s">
        <v>55</v>
      </c>
      <c r="B605" s="5" t="s">
        <v>216</v>
      </c>
      <c r="C605" s="5"/>
      <c r="D605" s="5"/>
      <c r="E605" s="5"/>
      <c r="F605" s="5"/>
      <c r="G605" s="6" t="s">
        <v>377</v>
      </c>
      <c r="H605" s="6"/>
      <c r="I605" s="7" t="str">
        <f>'工程单价费(税)率汇总表'!G8&amp;"%"</f>
        <v>32.8%</v>
      </c>
      <c r="J605" s="15">
        <f>K594+ROUND(I599*2.7*3.46,2)+ROUND(I600*2.4*3.46,2)+ROUND(I601*1.3*3.46,2)</f>
        <v>127.99</v>
      </c>
      <c r="K605" s="15">
        <f t="shared" si="41"/>
        <v>41.98</v>
      </c>
    </row>
    <row r="606" customHeight="1" spans="1:11">
      <c r="A606" s="6" t="s">
        <v>57</v>
      </c>
      <c r="B606" s="5" t="s">
        <v>389</v>
      </c>
      <c r="C606" s="5"/>
      <c r="D606" s="5"/>
      <c r="E606" s="5"/>
      <c r="F606" s="5"/>
      <c r="G606" s="6" t="s">
        <v>377</v>
      </c>
      <c r="H606" s="6"/>
      <c r="I606" s="7" t="str">
        <f>'工程单价费(税)率汇总表'!H8&amp;"%"</f>
        <v>7%</v>
      </c>
      <c r="J606" s="15">
        <f>K593+K604+K605</f>
        <v>1357.46</v>
      </c>
      <c r="K606" s="15">
        <f t="shared" si="41"/>
        <v>95.02</v>
      </c>
    </row>
    <row r="607" customHeight="1" spans="1:11">
      <c r="A607" s="6" t="s">
        <v>59</v>
      </c>
      <c r="B607" s="5" t="s">
        <v>207</v>
      </c>
      <c r="C607" s="5"/>
      <c r="D607" s="5"/>
      <c r="E607" s="5"/>
      <c r="F607" s="5"/>
      <c r="G607" s="6" t="s">
        <v>377</v>
      </c>
      <c r="H607" s="6"/>
      <c r="I607" s="7"/>
      <c r="J607" s="7"/>
      <c r="K607" s="15">
        <f>SUM(K608:K610)</f>
        <v>1085.23</v>
      </c>
    </row>
    <row r="608" customHeight="1" spans="1:11">
      <c r="A608" s="6"/>
      <c r="B608" s="5" t="s">
        <v>324</v>
      </c>
      <c r="C608" s="5"/>
      <c r="D608" s="5"/>
      <c r="E608" s="5"/>
      <c r="F608" s="5"/>
      <c r="G608" s="6" t="s">
        <v>378</v>
      </c>
      <c r="H608" s="6"/>
      <c r="I608" s="7">
        <f>I595</f>
        <v>6</v>
      </c>
      <c r="J608" s="15">
        <v>4</v>
      </c>
      <c r="K608" s="15">
        <f t="shared" ref="K608:K612" si="42">ROUND(I608*J608,2)</f>
        <v>24</v>
      </c>
    </row>
    <row r="609" customHeight="1" spans="1:11">
      <c r="A609" s="6"/>
      <c r="B609" s="5" t="s">
        <v>390</v>
      </c>
      <c r="C609" s="5"/>
      <c r="D609" s="5"/>
      <c r="E609" s="5"/>
      <c r="F609" s="5"/>
      <c r="G609" s="6" t="s">
        <v>378</v>
      </c>
      <c r="H609" s="6"/>
      <c r="I609" s="7">
        <f>I599*2.7+I600*2.4+I601*1.3</f>
        <v>30.992</v>
      </c>
      <c r="J609" s="15">
        <v>4</v>
      </c>
      <c r="K609" s="15">
        <f t="shared" si="42"/>
        <v>123.97</v>
      </c>
    </row>
    <row r="610" customHeight="1" spans="1:11">
      <c r="A610" s="6"/>
      <c r="B610" s="5" t="s">
        <v>293</v>
      </c>
      <c r="C610" s="5" t="s">
        <v>294</v>
      </c>
      <c r="D610" s="5"/>
      <c r="E610" s="5"/>
      <c r="F610" s="5"/>
      <c r="G610" s="6" t="s">
        <v>285</v>
      </c>
      <c r="H610" s="6"/>
      <c r="I610" s="7">
        <f>I599*14.9+I600*8.4+I601*9.1</f>
        <v>208.744</v>
      </c>
      <c r="J610" s="15">
        <v>4.49</v>
      </c>
      <c r="K610" s="15">
        <f t="shared" si="42"/>
        <v>937.26</v>
      </c>
    </row>
    <row r="611" customHeight="1" spans="1:11">
      <c r="A611" s="6" t="s">
        <v>227</v>
      </c>
      <c r="B611" s="5" t="s">
        <v>208</v>
      </c>
      <c r="C611" s="5"/>
      <c r="D611" s="5"/>
      <c r="E611" s="5"/>
      <c r="F611" s="5"/>
      <c r="G611" s="6" t="s">
        <v>377</v>
      </c>
      <c r="H611" s="6"/>
      <c r="I611" s="7" t="str">
        <f>'工程单价费(税)率汇总表'!I8&amp;"%"</f>
        <v>0%</v>
      </c>
      <c r="J611" s="15">
        <f>K593+K604+K605+K606+K607</f>
        <v>2537.71</v>
      </c>
      <c r="K611" s="15">
        <f t="shared" si="42"/>
        <v>0</v>
      </c>
    </row>
    <row r="612" customHeight="1" spans="1:11">
      <c r="A612" s="6" t="s">
        <v>223</v>
      </c>
      <c r="B612" s="5" t="s">
        <v>209</v>
      </c>
      <c r="C612" s="5"/>
      <c r="D612" s="5"/>
      <c r="E612" s="5"/>
      <c r="F612" s="5"/>
      <c r="G612" s="6" t="s">
        <v>377</v>
      </c>
      <c r="H612" s="6"/>
      <c r="I612" s="7" t="str">
        <f>'工程单价费(税)率汇总表'!J8&amp;"%"</f>
        <v>9%</v>
      </c>
      <c r="J612" s="15">
        <f>K593+K604+K605+K606+K607+K611</f>
        <v>2537.71</v>
      </c>
      <c r="K612" s="15">
        <f t="shared" si="42"/>
        <v>228.39</v>
      </c>
    </row>
    <row r="613" customHeight="1" spans="1:11">
      <c r="A613" s="6"/>
      <c r="B613" s="5" t="s">
        <v>61</v>
      </c>
      <c r="C613" s="5"/>
      <c r="D613" s="5"/>
      <c r="E613" s="5"/>
      <c r="F613" s="5"/>
      <c r="G613" s="6" t="s">
        <v>377</v>
      </c>
      <c r="H613" s="6"/>
      <c r="I613" s="7"/>
      <c r="J613" s="7"/>
      <c r="K613" s="15">
        <f>K593+K604+K605+K606+K607+K611+K612</f>
        <v>2766.1</v>
      </c>
    </row>
    <row r="614" customHeight="1" spans="1:11">
      <c r="A614" s="6"/>
      <c r="B614" s="5" t="s">
        <v>391</v>
      </c>
      <c r="C614" s="5"/>
      <c r="D614" s="5"/>
      <c r="E614" s="5"/>
      <c r="F614" s="5"/>
      <c r="G614" s="6" t="s">
        <v>377</v>
      </c>
      <c r="H614" s="6"/>
      <c r="I614" s="7"/>
      <c r="J614" s="7"/>
      <c r="K614" s="15">
        <f>ROUND(K613/100,2)</f>
        <v>27.66</v>
      </c>
    </row>
    <row r="615" customHeight="1" spans="1:11">
      <c r="A615" s="6"/>
      <c r="B615" s="5"/>
      <c r="C615" s="5"/>
      <c r="D615" s="5"/>
      <c r="E615" s="5"/>
      <c r="F615" s="5"/>
      <c r="G615" s="6"/>
      <c r="H615" s="6"/>
      <c r="I615" s="7"/>
      <c r="J615" s="7"/>
      <c r="K615" s="7"/>
    </row>
    <row r="616" customHeight="1" spans="1:11">
      <c r="A616" s="6"/>
      <c r="B616" s="5"/>
      <c r="C616" s="5"/>
      <c r="D616" s="5"/>
      <c r="E616" s="5"/>
      <c r="F616" s="5"/>
      <c r="G616" s="6"/>
      <c r="H616" s="6"/>
      <c r="I616" s="7"/>
      <c r="J616" s="7"/>
      <c r="K616" s="7"/>
    </row>
    <row r="617" customHeight="1" spans="1:11">
      <c r="A617" s="6"/>
      <c r="B617" s="5"/>
      <c r="C617" s="5"/>
      <c r="D617" s="5"/>
      <c r="E617" s="5"/>
      <c r="F617" s="5"/>
      <c r="G617" s="6"/>
      <c r="H617" s="6"/>
      <c r="I617" s="7"/>
      <c r="J617" s="7"/>
      <c r="K617" s="7"/>
    </row>
    <row r="618" customHeight="1" spans="1:11">
      <c r="A618" s="6"/>
      <c r="B618" s="5"/>
      <c r="C618" s="5"/>
      <c r="D618" s="5"/>
      <c r="E618" s="5"/>
      <c r="F618" s="5"/>
      <c r="G618" s="6"/>
      <c r="H618" s="6"/>
      <c r="I618" s="7"/>
      <c r="J618" s="7"/>
      <c r="K618" s="7"/>
    </row>
    <row r="619" customHeight="1" spans="1:11">
      <c r="A619" s="6"/>
      <c r="B619" s="5"/>
      <c r="C619" s="5"/>
      <c r="D619" s="5"/>
      <c r="E619" s="5"/>
      <c r="F619" s="5"/>
      <c r="G619" s="6"/>
      <c r="H619" s="6"/>
      <c r="I619" s="7"/>
      <c r="J619" s="7"/>
      <c r="K619" s="7"/>
    </row>
    <row r="620" customHeight="1" spans="1:11">
      <c r="A620" s="6"/>
      <c r="B620" s="5"/>
      <c r="C620" s="5"/>
      <c r="D620" s="5"/>
      <c r="E620" s="5"/>
      <c r="F620" s="5"/>
      <c r="G620" s="6"/>
      <c r="H620" s="6"/>
      <c r="I620" s="7"/>
      <c r="J620" s="7"/>
      <c r="K620" s="7"/>
    </row>
    <row r="621" customHeight="1" spans="1:11">
      <c r="A621" s="6"/>
      <c r="B621" s="5"/>
      <c r="C621" s="5"/>
      <c r="D621" s="5"/>
      <c r="E621" s="5"/>
      <c r="F621" s="5"/>
      <c r="G621" s="6"/>
      <c r="H621" s="6"/>
      <c r="I621" s="7"/>
      <c r="J621" s="7"/>
      <c r="K621" s="7"/>
    </row>
    <row r="622" customHeight="1" spans="1:11">
      <c r="A622" s="6"/>
      <c r="B622" s="5"/>
      <c r="C622" s="5"/>
      <c r="D622" s="5"/>
      <c r="E622" s="5"/>
      <c r="F622" s="5"/>
      <c r="G622" s="6"/>
      <c r="H622" s="6"/>
      <c r="I622" s="7"/>
      <c r="J622" s="7"/>
      <c r="K622" s="7"/>
    </row>
    <row r="623" customHeight="1" spans="1:11">
      <c r="A623" s="6"/>
      <c r="B623" s="5"/>
      <c r="C623" s="5"/>
      <c r="D623" s="5"/>
      <c r="E623" s="5"/>
      <c r="F623" s="5"/>
      <c r="G623" s="6"/>
      <c r="H623" s="6"/>
      <c r="I623" s="7"/>
      <c r="J623" s="7"/>
      <c r="K623" s="7"/>
    </row>
    <row r="624" ht="7.5" customHeight="1" spans="1:11">
      <c r="A624" s="3"/>
      <c r="B624" s="3"/>
      <c r="C624" s="3"/>
      <c r="D624" s="3"/>
      <c r="E624" s="3"/>
      <c r="F624" s="3"/>
      <c r="G624" s="3"/>
      <c r="H624" s="3"/>
      <c r="I624" s="3"/>
      <c r="J624" s="3"/>
      <c r="K624" s="3"/>
    </row>
    <row r="625" ht="26.25" customHeight="1" spans="1:11">
      <c r="A625" s="2" t="s">
        <v>367</v>
      </c>
      <c r="B625" s="2"/>
      <c r="C625" s="2"/>
      <c r="D625" s="2"/>
      <c r="E625" s="2"/>
      <c r="F625" s="2"/>
      <c r="G625" s="2"/>
      <c r="H625" s="2"/>
      <c r="I625" s="2"/>
      <c r="J625" s="2"/>
      <c r="K625" s="2"/>
    </row>
    <row r="626" customHeight="1" spans="1:11">
      <c r="A626" s="11" t="s">
        <v>440</v>
      </c>
      <c r="B626" s="11"/>
      <c r="C626" s="11"/>
      <c r="D626" s="11"/>
      <c r="E626" s="11"/>
      <c r="F626" s="11"/>
      <c r="G626" s="11"/>
      <c r="H626" s="11"/>
      <c r="I626" s="11"/>
      <c r="J626" s="11"/>
      <c r="K626" s="11"/>
    </row>
    <row r="627" customHeight="1" spans="1:11">
      <c r="A627" s="8" t="s">
        <v>369</v>
      </c>
      <c r="B627" s="3" t="s">
        <v>441</v>
      </c>
      <c r="C627" s="3"/>
      <c r="D627" s="3"/>
      <c r="E627" s="3"/>
      <c r="F627" s="3"/>
      <c r="G627" s="3"/>
      <c r="H627" s="12" t="s">
        <v>393</v>
      </c>
      <c r="I627" s="12"/>
      <c r="J627" s="12"/>
      <c r="K627" s="12"/>
    </row>
    <row r="628" ht="27.75" customHeight="1" spans="1:11">
      <c r="A628" s="13" t="s">
        <v>371</v>
      </c>
      <c r="B628" s="14" t="s">
        <v>442</v>
      </c>
      <c r="C628" s="14"/>
      <c r="D628" s="14"/>
      <c r="E628" s="14"/>
      <c r="F628" s="14"/>
      <c r="G628" s="14"/>
      <c r="H628" s="14"/>
      <c r="I628" s="14"/>
      <c r="J628" s="14"/>
      <c r="K628" s="14"/>
    </row>
    <row r="629" customHeight="1" spans="1:11">
      <c r="A629" s="6" t="s">
        <v>48</v>
      </c>
      <c r="B629" s="6" t="s">
        <v>254</v>
      </c>
      <c r="C629" s="6" t="s">
        <v>255</v>
      </c>
      <c r="D629" s="6"/>
      <c r="E629" s="6"/>
      <c r="F629" s="6"/>
      <c r="G629" s="6" t="s">
        <v>282</v>
      </c>
      <c r="H629" s="6"/>
      <c r="I629" s="6" t="s">
        <v>373</v>
      </c>
      <c r="J629" s="6" t="s">
        <v>374</v>
      </c>
      <c r="K629" s="6" t="s">
        <v>375</v>
      </c>
    </row>
    <row r="630" customHeight="1" spans="1:11">
      <c r="A630" s="6" t="s">
        <v>51</v>
      </c>
      <c r="B630" s="5" t="s">
        <v>376</v>
      </c>
      <c r="C630" s="5"/>
      <c r="D630" s="5"/>
      <c r="E630" s="5"/>
      <c r="F630" s="5"/>
      <c r="G630" s="6" t="s">
        <v>377</v>
      </c>
      <c r="H630" s="6"/>
      <c r="I630" s="7"/>
      <c r="J630" s="7"/>
      <c r="K630" s="15">
        <f>K631+K633+K637+K638+K639</f>
        <v>5130.14</v>
      </c>
    </row>
    <row r="631" customHeight="1" spans="1:11">
      <c r="A631" s="6" t="s">
        <v>72</v>
      </c>
      <c r="B631" s="5" t="s">
        <v>199</v>
      </c>
      <c r="C631" s="5"/>
      <c r="D631" s="5"/>
      <c r="E631" s="5"/>
      <c r="F631" s="5"/>
      <c r="G631" s="6" t="s">
        <v>377</v>
      </c>
      <c r="H631" s="6"/>
      <c r="I631" s="7"/>
      <c r="J631" s="7"/>
      <c r="K631" s="15">
        <f>SUM(K632:K632)</f>
        <v>1249.06</v>
      </c>
    </row>
    <row r="632" customHeight="1" spans="1:11">
      <c r="A632" s="6"/>
      <c r="B632" s="5" t="s">
        <v>324</v>
      </c>
      <c r="C632" s="5"/>
      <c r="D632" s="5"/>
      <c r="E632" s="5"/>
      <c r="F632" s="5"/>
      <c r="G632" s="6" t="s">
        <v>378</v>
      </c>
      <c r="H632" s="6"/>
      <c r="I632" s="7">
        <v>361</v>
      </c>
      <c r="J632" s="15">
        <v>3.46</v>
      </c>
      <c r="K632" s="15">
        <f t="shared" ref="K632:K635" si="43">ROUND(I632*J632,2)</f>
        <v>1249.06</v>
      </c>
    </row>
    <row r="633" customHeight="1" spans="1:11">
      <c r="A633" s="6" t="s">
        <v>131</v>
      </c>
      <c r="B633" s="5" t="s">
        <v>200</v>
      </c>
      <c r="C633" s="5"/>
      <c r="D633" s="5"/>
      <c r="E633" s="5"/>
      <c r="F633" s="5"/>
      <c r="G633" s="6" t="s">
        <v>377</v>
      </c>
      <c r="H633" s="6"/>
      <c r="I633" s="7"/>
      <c r="J633" s="7"/>
      <c r="K633" s="15">
        <f>SUM(K634:K636)</f>
        <v>3393.6</v>
      </c>
    </row>
    <row r="634" customHeight="1" spans="1:11">
      <c r="A634" s="6"/>
      <c r="B634" s="5" t="s">
        <v>291</v>
      </c>
      <c r="C634" s="5"/>
      <c r="D634" s="5"/>
      <c r="E634" s="5"/>
      <c r="F634" s="5"/>
      <c r="G634" s="6" t="s">
        <v>82</v>
      </c>
      <c r="H634" s="6"/>
      <c r="I634" s="7">
        <v>89.6</v>
      </c>
      <c r="J634" s="15">
        <v>30</v>
      </c>
      <c r="K634" s="15">
        <f t="shared" si="43"/>
        <v>2688</v>
      </c>
    </row>
    <row r="635" customHeight="1" spans="1:11">
      <c r="A635" s="6"/>
      <c r="B635" s="5" t="s">
        <v>305</v>
      </c>
      <c r="C635" s="5"/>
      <c r="D635" s="5"/>
      <c r="E635" s="5"/>
      <c r="F635" s="5"/>
      <c r="G635" s="6" t="s">
        <v>82</v>
      </c>
      <c r="H635" s="6"/>
      <c r="I635" s="7">
        <v>22.4</v>
      </c>
      <c r="J635" s="15">
        <v>30</v>
      </c>
      <c r="K635" s="15">
        <f t="shared" si="43"/>
        <v>672</v>
      </c>
    </row>
    <row r="636" customHeight="1" spans="1:11">
      <c r="A636" s="6"/>
      <c r="B636" s="5" t="s">
        <v>403</v>
      </c>
      <c r="C636" s="5"/>
      <c r="D636" s="5"/>
      <c r="E636" s="5"/>
      <c r="F636" s="5"/>
      <c r="G636" s="6" t="s">
        <v>380</v>
      </c>
      <c r="H636" s="6"/>
      <c r="I636" s="7">
        <v>1</v>
      </c>
      <c r="J636" s="15">
        <f>K634+K635</f>
        <v>3360</v>
      </c>
      <c r="K636" s="15">
        <f>ROUND(I636*J636/100,2)</f>
        <v>33.6</v>
      </c>
    </row>
    <row r="637" customHeight="1" spans="1:11">
      <c r="A637" s="6" t="s">
        <v>381</v>
      </c>
      <c r="B637" s="5" t="s">
        <v>382</v>
      </c>
      <c r="C637" s="5"/>
      <c r="D637" s="5"/>
      <c r="E637" s="5"/>
      <c r="F637" s="5"/>
      <c r="G637" s="6" t="s">
        <v>377</v>
      </c>
      <c r="H637" s="6"/>
      <c r="I637" s="7"/>
      <c r="J637" s="7"/>
      <c r="K637" s="15">
        <v>0</v>
      </c>
    </row>
    <row r="638" customHeight="1" spans="1:11">
      <c r="A638" s="6" t="s">
        <v>384</v>
      </c>
      <c r="B638" s="5" t="s">
        <v>385</v>
      </c>
      <c r="C638" s="5"/>
      <c r="D638" s="5"/>
      <c r="E638" s="5"/>
      <c r="F638" s="5"/>
      <c r="G638" s="6" t="s">
        <v>377</v>
      </c>
      <c r="H638" s="6"/>
      <c r="I638" s="7" t="str">
        <f>'工程单价费(税)率汇总表'!D10&amp;"%"</f>
        <v>4.5%</v>
      </c>
      <c r="J638" s="15">
        <f>K631+K633+K637</f>
        <v>4642.66</v>
      </c>
      <c r="K638" s="15">
        <f t="shared" ref="K638:K642" si="44">ROUND(I638*J638,2)</f>
        <v>208.92</v>
      </c>
    </row>
    <row r="639" customHeight="1" spans="1:11">
      <c r="A639" s="6" t="s">
        <v>386</v>
      </c>
      <c r="B639" s="5" t="s">
        <v>387</v>
      </c>
      <c r="C639" s="5"/>
      <c r="D639" s="5"/>
      <c r="E639" s="5"/>
      <c r="F639" s="5"/>
      <c r="G639" s="6" t="s">
        <v>377</v>
      </c>
      <c r="H639" s="6"/>
      <c r="I639" s="7" t="str">
        <f>'工程单价费(税)率汇总表'!E10&amp;"%"</f>
        <v>6%</v>
      </c>
      <c r="J639" s="15">
        <f>K631+K633+K637</f>
        <v>4642.66</v>
      </c>
      <c r="K639" s="15">
        <f t="shared" si="44"/>
        <v>278.56</v>
      </c>
    </row>
    <row r="640" customHeight="1" spans="1:11">
      <c r="A640" s="6" t="s">
        <v>53</v>
      </c>
      <c r="B640" s="5" t="s">
        <v>388</v>
      </c>
      <c r="C640" s="5"/>
      <c r="D640" s="5"/>
      <c r="E640" s="5"/>
      <c r="F640" s="5"/>
      <c r="G640" s="6" t="s">
        <v>377</v>
      </c>
      <c r="H640" s="6"/>
      <c r="I640" s="7" t="str">
        <f>'工程单价费(税)率汇总表'!F10&amp;"%"</f>
        <v>5.8%</v>
      </c>
      <c r="J640" s="15">
        <f>K630</f>
        <v>5130.14</v>
      </c>
      <c r="K640" s="15">
        <f t="shared" si="44"/>
        <v>297.55</v>
      </c>
    </row>
    <row r="641" customHeight="1" spans="1:11">
      <c r="A641" s="6" t="s">
        <v>55</v>
      </c>
      <c r="B641" s="5" t="s">
        <v>216</v>
      </c>
      <c r="C641" s="5"/>
      <c r="D641" s="5"/>
      <c r="E641" s="5"/>
      <c r="F641" s="5"/>
      <c r="G641" s="6" t="s">
        <v>377</v>
      </c>
      <c r="H641" s="6"/>
      <c r="I641" s="7" t="str">
        <f>'工程单价费(税)率汇总表'!G10&amp;"%"</f>
        <v>32.8%</v>
      </c>
      <c r="J641" s="15">
        <f>K631</f>
        <v>1249.06</v>
      </c>
      <c r="K641" s="15">
        <f t="shared" si="44"/>
        <v>409.69</v>
      </c>
    </row>
    <row r="642" customHeight="1" spans="1:11">
      <c r="A642" s="6" t="s">
        <v>57</v>
      </c>
      <c r="B642" s="5" t="s">
        <v>389</v>
      </c>
      <c r="C642" s="5"/>
      <c r="D642" s="5"/>
      <c r="E642" s="5"/>
      <c r="F642" s="5"/>
      <c r="G642" s="6" t="s">
        <v>377</v>
      </c>
      <c r="H642" s="6"/>
      <c r="I642" s="7" t="str">
        <f>'工程单价费(税)率汇总表'!H10&amp;"%"</f>
        <v>7%</v>
      </c>
      <c r="J642" s="15">
        <f>K630+K640+K641</f>
        <v>5837.38</v>
      </c>
      <c r="K642" s="15">
        <f t="shared" si="44"/>
        <v>408.62</v>
      </c>
    </row>
    <row r="643" customHeight="1" spans="1:11">
      <c r="A643" s="6" t="s">
        <v>59</v>
      </c>
      <c r="B643" s="5" t="s">
        <v>207</v>
      </c>
      <c r="C643" s="5"/>
      <c r="D643" s="5"/>
      <c r="E643" s="5"/>
      <c r="F643" s="5"/>
      <c r="G643" s="6" t="s">
        <v>377</v>
      </c>
      <c r="H643" s="6"/>
      <c r="I643" s="7"/>
      <c r="J643" s="7"/>
      <c r="K643" s="15">
        <f>SUM(K644:K646)</f>
        <v>8436.16</v>
      </c>
    </row>
    <row r="644" customHeight="1" spans="1:11">
      <c r="A644" s="6"/>
      <c r="B644" s="5" t="s">
        <v>324</v>
      </c>
      <c r="C644" s="5"/>
      <c r="D644" s="5"/>
      <c r="E644" s="5"/>
      <c r="F644" s="5"/>
      <c r="G644" s="6" t="s">
        <v>378</v>
      </c>
      <c r="H644" s="6"/>
      <c r="I644" s="7">
        <f>I632</f>
        <v>361</v>
      </c>
      <c r="J644" s="15">
        <v>4</v>
      </c>
      <c r="K644" s="15">
        <f t="shared" ref="K644:K648" si="45">ROUND(I644*J644,2)</f>
        <v>1444</v>
      </c>
    </row>
    <row r="645" customHeight="1" spans="1:11">
      <c r="A645" s="6"/>
      <c r="B645" s="5" t="s">
        <v>291</v>
      </c>
      <c r="C645" s="5"/>
      <c r="D645" s="5"/>
      <c r="E645" s="5"/>
      <c r="F645" s="5"/>
      <c r="G645" s="6" t="s">
        <v>82</v>
      </c>
      <c r="H645" s="6"/>
      <c r="I645" s="7">
        <f>I634</f>
        <v>89.6</v>
      </c>
      <c r="J645" s="15">
        <v>59.5</v>
      </c>
      <c r="K645" s="15">
        <f t="shared" si="45"/>
        <v>5331.2</v>
      </c>
    </row>
    <row r="646" customHeight="1" spans="1:11">
      <c r="A646" s="6"/>
      <c r="B646" s="5" t="s">
        <v>305</v>
      </c>
      <c r="C646" s="5"/>
      <c r="D646" s="5"/>
      <c r="E646" s="5"/>
      <c r="F646" s="5"/>
      <c r="G646" s="6" t="s">
        <v>82</v>
      </c>
      <c r="H646" s="6"/>
      <c r="I646" s="7">
        <f>I635</f>
        <v>22.4</v>
      </c>
      <c r="J646" s="15">
        <v>74.15</v>
      </c>
      <c r="K646" s="15">
        <f t="shared" si="45"/>
        <v>1660.96</v>
      </c>
    </row>
    <row r="647" customHeight="1" spans="1:11">
      <c r="A647" s="6" t="s">
        <v>227</v>
      </c>
      <c r="B647" s="5" t="s">
        <v>208</v>
      </c>
      <c r="C647" s="5"/>
      <c r="D647" s="5"/>
      <c r="E647" s="5"/>
      <c r="F647" s="5"/>
      <c r="G647" s="6" t="s">
        <v>377</v>
      </c>
      <c r="H647" s="6"/>
      <c r="I647" s="7" t="str">
        <f>'工程单价费(税)率汇总表'!I10&amp;"%"</f>
        <v>0%</v>
      </c>
      <c r="J647" s="15">
        <f>K630+K640+K641+K642+K643</f>
        <v>14682.16</v>
      </c>
      <c r="K647" s="15">
        <f t="shared" si="45"/>
        <v>0</v>
      </c>
    </row>
    <row r="648" customHeight="1" spans="1:11">
      <c r="A648" s="6" t="s">
        <v>223</v>
      </c>
      <c r="B648" s="5" t="s">
        <v>209</v>
      </c>
      <c r="C648" s="5"/>
      <c r="D648" s="5"/>
      <c r="E648" s="5"/>
      <c r="F648" s="5"/>
      <c r="G648" s="6" t="s">
        <v>377</v>
      </c>
      <c r="H648" s="6"/>
      <c r="I648" s="7" t="str">
        <f>'工程单价费(税)率汇总表'!J10&amp;"%"</f>
        <v>9%</v>
      </c>
      <c r="J648" s="15">
        <f>K630+K640+K641+K642+K643+K647</f>
        <v>14682.16</v>
      </c>
      <c r="K648" s="15">
        <f t="shared" si="45"/>
        <v>1321.39</v>
      </c>
    </row>
    <row r="649" customHeight="1" spans="1:11">
      <c r="A649" s="6"/>
      <c r="B649" s="5" t="s">
        <v>61</v>
      </c>
      <c r="C649" s="5"/>
      <c r="D649" s="5"/>
      <c r="E649" s="5"/>
      <c r="F649" s="5"/>
      <c r="G649" s="6" t="s">
        <v>377</v>
      </c>
      <c r="H649" s="6"/>
      <c r="I649" s="7"/>
      <c r="J649" s="7"/>
      <c r="K649" s="15">
        <f>K630+K640+K641+K642+K643+K647+K648</f>
        <v>16003.55</v>
      </c>
    </row>
    <row r="650" customHeight="1" spans="1:11">
      <c r="A650" s="6"/>
      <c r="B650" s="5" t="s">
        <v>391</v>
      </c>
      <c r="C650" s="5"/>
      <c r="D650" s="5"/>
      <c r="E650" s="5"/>
      <c r="F650" s="5"/>
      <c r="G650" s="6" t="s">
        <v>377</v>
      </c>
      <c r="H650" s="6"/>
      <c r="I650" s="7"/>
      <c r="J650" s="7"/>
      <c r="K650" s="15">
        <f>ROUND(K649/100,2)</f>
        <v>160.04</v>
      </c>
    </row>
    <row r="651" customHeight="1" spans="1:11">
      <c r="A651" s="6"/>
      <c r="B651" s="5"/>
      <c r="C651" s="5"/>
      <c r="D651" s="5"/>
      <c r="E651" s="5"/>
      <c r="F651" s="5"/>
      <c r="G651" s="6"/>
      <c r="H651" s="6"/>
      <c r="I651" s="7"/>
      <c r="J651" s="7"/>
      <c r="K651" s="7"/>
    </row>
    <row r="652" customHeight="1" spans="1:11">
      <c r="A652" s="6"/>
      <c r="B652" s="5"/>
      <c r="C652" s="5"/>
      <c r="D652" s="5"/>
      <c r="E652" s="5"/>
      <c r="F652" s="5"/>
      <c r="G652" s="6"/>
      <c r="H652" s="6"/>
      <c r="I652" s="7"/>
      <c r="J652" s="7"/>
      <c r="K652" s="7"/>
    </row>
    <row r="653" customHeight="1" spans="1:11">
      <c r="A653" s="6"/>
      <c r="B653" s="5"/>
      <c r="C653" s="5"/>
      <c r="D653" s="5"/>
      <c r="E653" s="5"/>
      <c r="F653" s="5"/>
      <c r="G653" s="6"/>
      <c r="H653" s="6"/>
      <c r="I653" s="7"/>
      <c r="J653" s="7"/>
      <c r="K653" s="7"/>
    </row>
    <row r="654" customHeight="1" spans="1:11">
      <c r="A654" s="6"/>
      <c r="B654" s="5"/>
      <c r="C654" s="5"/>
      <c r="D654" s="5"/>
      <c r="E654" s="5"/>
      <c r="F654" s="5"/>
      <c r="G654" s="6"/>
      <c r="H654" s="6"/>
      <c r="I654" s="7"/>
      <c r="J654" s="7"/>
      <c r="K654" s="7"/>
    </row>
    <row r="655" customHeight="1" spans="1:11">
      <c r="A655" s="6"/>
      <c r="B655" s="5"/>
      <c r="C655" s="5"/>
      <c r="D655" s="5"/>
      <c r="E655" s="5"/>
      <c r="F655" s="5"/>
      <c r="G655" s="6"/>
      <c r="H655" s="6"/>
      <c r="I655" s="7"/>
      <c r="J655" s="7"/>
      <c r="K655" s="7"/>
    </row>
    <row r="656" customHeight="1" spans="1:11">
      <c r="A656" s="6"/>
      <c r="B656" s="5"/>
      <c r="C656" s="5"/>
      <c r="D656" s="5"/>
      <c r="E656" s="5"/>
      <c r="F656" s="5"/>
      <c r="G656" s="6"/>
      <c r="H656" s="6"/>
      <c r="I656" s="7"/>
      <c r="J656" s="7"/>
      <c r="K656" s="7"/>
    </row>
    <row r="657" customHeight="1" spans="1:11">
      <c r="A657" s="6"/>
      <c r="B657" s="5"/>
      <c r="C657" s="5"/>
      <c r="D657" s="5"/>
      <c r="E657" s="5"/>
      <c r="F657" s="5"/>
      <c r="G657" s="6"/>
      <c r="H657" s="6"/>
      <c r="I657" s="7"/>
      <c r="J657" s="7"/>
      <c r="K657" s="7"/>
    </row>
    <row r="658" customHeight="1" spans="1:11">
      <c r="A658" s="6"/>
      <c r="B658" s="5"/>
      <c r="C658" s="5"/>
      <c r="D658" s="5"/>
      <c r="E658" s="5"/>
      <c r="F658" s="5"/>
      <c r="G658" s="6"/>
      <c r="H658" s="6"/>
      <c r="I658" s="7"/>
      <c r="J658" s="7"/>
      <c r="K658" s="7"/>
    </row>
    <row r="659" customHeight="1" spans="1:11">
      <c r="A659" s="6"/>
      <c r="B659" s="5"/>
      <c r="C659" s="5"/>
      <c r="D659" s="5"/>
      <c r="E659" s="5"/>
      <c r="F659" s="5"/>
      <c r="G659" s="6"/>
      <c r="H659" s="6"/>
      <c r="I659" s="7"/>
      <c r="J659" s="7"/>
      <c r="K659" s="7"/>
    </row>
    <row r="660" customHeight="1" spans="1:11">
      <c r="A660" s="6"/>
      <c r="B660" s="5"/>
      <c r="C660" s="5"/>
      <c r="D660" s="5"/>
      <c r="E660" s="5"/>
      <c r="F660" s="5"/>
      <c r="G660" s="6"/>
      <c r="H660" s="6"/>
      <c r="I660" s="7"/>
      <c r="J660" s="7"/>
      <c r="K660" s="7"/>
    </row>
    <row r="661" ht="7.5" customHeight="1" spans="1:11">
      <c r="A661" s="3"/>
      <c r="B661" s="3"/>
      <c r="C661" s="3"/>
      <c r="D661" s="3"/>
      <c r="E661" s="3"/>
      <c r="F661" s="3"/>
      <c r="G661" s="3"/>
      <c r="H661" s="3"/>
      <c r="I661" s="3"/>
      <c r="J661" s="3"/>
      <c r="K661" s="3"/>
    </row>
    <row r="662" ht="26.25" customHeight="1" spans="1:11">
      <c r="A662" s="2" t="s">
        <v>367</v>
      </c>
      <c r="B662" s="2"/>
      <c r="C662" s="2"/>
      <c r="D662" s="2"/>
      <c r="E662" s="2"/>
      <c r="F662" s="2"/>
      <c r="G662" s="2"/>
      <c r="H662" s="2"/>
      <c r="I662" s="2"/>
      <c r="J662" s="2"/>
      <c r="K662" s="2"/>
    </row>
    <row r="663" customHeight="1" spans="1:11">
      <c r="A663" s="11" t="s">
        <v>443</v>
      </c>
      <c r="B663" s="11"/>
      <c r="C663" s="11"/>
      <c r="D663" s="11"/>
      <c r="E663" s="11"/>
      <c r="F663" s="11"/>
      <c r="G663" s="11"/>
      <c r="H663" s="11"/>
      <c r="I663" s="11"/>
      <c r="J663" s="11"/>
      <c r="K663" s="11"/>
    </row>
    <row r="664" customHeight="1" spans="1:11">
      <c r="A664" s="8" t="s">
        <v>369</v>
      </c>
      <c r="B664" s="3" t="s">
        <v>444</v>
      </c>
      <c r="C664" s="3"/>
      <c r="D664" s="3"/>
      <c r="E664" s="3"/>
      <c r="F664" s="3"/>
      <c r="G664" s="3"/>
      <c r="H664" s="12" t="s">
        <v>411</v>
      </c>
      <c r="I664" s="12"/>
      <c r="J664" s="12"/>
      <c r="K664" s="12"/>
    </row>
    <row r="665" ht="27.75" customHeight="1" spans="1:11">
      <c r="A665" s="13" t="s">
        <v>371</v>
      </c>
      <c r="B665" s="14" t="s">
        <v>445</v>
      </c>
      <c r="C665" s="14"/>
      <c r="D665" s="14"/>
      <c r="E665" s="14"/>
      <c r="F665" s="14"/>
      <c r="G665" s="14"/>
      <c r="H665" s="14"/>
      <c r="I665" s="14"/>
      <c r="J665" s="14"/>
      <c r="K665" s="14"/>
    </row>
    <row r="666" customHeight="1" spans="1:11">
      <c r="A666" s="6" t="s">
        <v>48</v>
      </c>
      <c r="B666" s="6" t="s">
        <v>254</v>
      </c>
      <c r="C666" s="6" t="s">
        <v>255</v>
      </c>
      <c r="D666" s="6"/>
      <c r="E666" s="6"/>
      <c r="F666" s="6"/>
      <c r="G666" s="6" t="s">
        <v>282</v>
      </c>
      <c r="H666" s="6"/>
      <c r="I666" s="6" t="s">
        <v>373</v>
      </c>
      <c r="J666" s="6" t="s">
        <v>374</v>
      </c>
      <c r="K666" s="6" t="s">
        <v>375</v>
      </c>
    </row>
    <row r="667" customHeight="1" spans="1:11">
      <c r="A667" s="6" t="s">
        <v>51</v>
      </c>
      <c r="B667" s="5" t="s">
        <v>376</v>
      </c>
      <c r="C667" s="5"/>
      <c r="D667" s="5"/>
      <c r="E667" s="5"/>
      <c r="F667" s="5"/>
      <c r="G667" s="6" t="s">
        <v>377</v>
      </c>
      <c r="H667" s="6"/>
      <c r="I667" s="7"/>
      <c r="J667" s="7"/>
      <c r="K667" s="15">
        <f>K668+K670+K673+K674+K675</f>
        <v>582.4</v>
      </c>
    </row>
    <row r="668" customHeight="1" spans="1:11">
      <c r="A668" s="6" t="s">
        <v>72</v>
      </c>
      <c r="B668" s="5" t="s">
        <v>199</v>
      </c>
      <c r="C668" s="5"/>
      <c r="D668" s="5"/>
      <c r="E668" s="5"/>
      <c r="F668" s="5"/>
      <c r="G668" s="6" t="s">
        <v>377</v>
      </c>
      <c r="H668" s="6"/>
      <c r="I668" s="7"/>
      <c r="J668" s="7"/>
      <c r="K668" s="15">
        <f>SUM(K669:K669)</f>
        <v>49.48</v>
      </c>
    </row>
    <row r="669" customHeight="1" spans="1:11">
      <c r="A669" s="6"/>
      <c r="B669" s="5" t="s">
        <v>324</v>
      </c>
      <c r="C669" s="5"/>
      <c r="D669" s="5"/>
      <c r="E669" s="5"/>
      <c r="F669" s="5"/>
      <c r="G669" s="6" t="s">
        <v>378</v>
      </c>
      <c r="H669" s="6"/>
      <c r="I669" s="7">
        <v>14.3</v>
      </c>
      <c r="J669" s="15">
        <v>3.46</v>
      </c>
      <c r="K669" s="15">
        <f t="shared" ref="K669:K678" si="46">ROUND(I669*J669,2)</f>
        <v>49.48</v>
      </c>
    </row>
    <row r="670" customHeight="1" spans="1:11">
      <c r="A670" s="6" t="s">
        <v>131</v>
      </c>
      <c r="B670" s="5" t="s">
        <v>200</v>
      </c>
      <c r="C670" s="5"/>
      <c r="D670" s="5"/>
      <c r="E670" s="5"/>
      <c r="F670" s="5"/>
      <c r="G670" s="6" t="s">
        <v>377</v>
      </c>
      <c r="H670" s="6"/>
      <c r="I670" s="7"/>
      <c r="J670" s="7"/>
      <c r="K670" s="15">
        <f>SUM(K671:K672)</f>
        <v>482.4</v>
      </c>
    </row>
    <row r="671" customHeight="1" spans="1:11">
      <c r="A671" s="6"/>
      <c r="B671" s="5" t="s">
        <v>446</v>
      </c>
      <c r="C671" s="5"/>
      <c r="D671" s="5"/>
      <c r="E671" s="5"/>
      <c r="F671" s="5"/>
      <c r="G671" s="6" t="s">
        <v>77</v>
      </c>
      <c r="H671" s="6"/>
      <c r="I671" s="7">
        <v>107</v>
      </c>
      <c r="J671" s="15">
        <v>4.42</v>
      </c>
      <c r="K671" s="15">
        <f t="shared" si="46"/>
        <v>472.94</v>
      </c>
    </row>
    <row r="672" customHeight="1" spans="1:11">
      <c r="A672" s="6"/>
      <c r="B672" s="5" t="s">
        <v>403</v>
      </c>
      <c r="C672" s="5"/>
      <c r="D672" s="5"/>
      <c r="E672" s="5"/>
      <c r="F672" s="5"/>
      <c r="G672" s="6" t="s">
        <v>380</v>
      </c>
      <c r="H672" s="6"/>
      <c r="I672" s="7">
        <v>2</v>
      </c>
      <c r="J672" s="15">
        <f>K671</f>
        <v>472.94</v>
      </c>
      <c r="K672" s="15">
        <f>ROUND(I672*J672/100,2)</f>
        <v>9.46</v>
      </c>
    </row>
    <row r="673" customHeight="1" spans="1:11">
      <c r="A673" s="6" t="s">
        <v>381</v>
      </c>
      <c r="B673" s="5" t="s">
        <v>382</v>
      </c>
      <c r="C673" s="5"/>
      <c r="D673" s="5"/>
      <c r="E673" s="5"/>
      <c r="F673" s="5"/>
      <c r="G673" s="6" t="s">
        <v>377</v>
      </c>
      <c r="H673" s="6"/>
      <c r="I673" s="7"/>
      <c r="J673" s="7"/>
      <c r="K673" s="15">
        <v>0</v>
      </c>
    </row>
    <row r="674" customHeight="1" spans="1:11">
      <c r="A674" s="6" t="s">
        <v>384</v>
      </c>
      <c r="B674" s="5" t="s">
        <v>385</v>
      </c>
      <c r="C674" s="5"/>
      <c r="D674" s="5"/>
      <c r="E674" s="5"/>
      <c r="F674" s="5"/>
      <c r="G674" s="6" t="s">
        <v>377</v>
      </c>
      <c r="H674" s="6"/>
      <c r="I674" s="7" t="str">
        <f>'工程单价费(税)率汇总表'!D18&amp;"%"</f>
        <v>4.5%</v>
      </c>
      <c r="J674" s="15">
        <f>K668+K670+K673</f>
        <v>531.88</v>
      </c>
      <c r="K674" s="15">
        <f t="shared" si="46"/>
        <v>23.93</v>
      </c>
    </row>
    <row r="675" customHeight="1" spans="1:11">
      <c r="A675" s="6" t="s">
        <v>386</v>
      </c>
      <c r="B675" s="5" t="s">
        <v>387</v>
      </c>
      <c r="C675" s="5"/>
      <c r="D675" s="5"/>
      <c r="E675" s="5"/>
      <c r="F675" s="5"/>
      <c r="G675" s="6" t="s">
        <v>377</v>
      </c>
      <c r="H675" s="6"/>
      <c r="I675" s="7" t="str">
        <f>'工程单价费(税)率汇总表'!E18&amp;"%"</f>
        <v>5%</v>
      </c>
      <c r="J675" s="15">
        <f>K668+K670+K673</f>
        <v>531.88</v>
      </c>
      <c r="K675" s="15">
        <f t="shared" si="46"/>
        <v>26.59</v>
      </c>
    </row>
    <row r="676" customHeight="1" spans="1:11">
      <c r="A676" s="6" t="s">
        <v>53</v>
      </c>
      <c r="B676" s="5" t="s">
        <v>388</v>
      </c>
      <c r="C676" s="5"/>
      <c r="D676" s="5"/>
      <c r="E676" s="5"/>
      <c r="F676" s="5"/>
      <c r="G676" s="6" t="s">
        <v>377</v>
      </c>
      <c r="H676" s="6"/>
      <c r="I676" s="7" t="str">
        <f>'工程单价费(税)率汇总表'!F18&amp;"%"</f>
        <v>4.8%</v>
      </c>
      <c r="J676" s="15">
        <f>K667</f>
        <v>582.4</v>
      </c>
      <c r="K676" s="15">
        <f t="shared" si="46"/>
        <v>27.96</v>
      </c>
    </row>
    <row r="677" customHeight="1" spans="1:11">
      <c r="A677" s="6" t="s">
        <v>55</v>
      </c>
      <c r="B677" s="5" t="s">
        <v>216</v>
      </c>
      <c r="C677" s="5"/>
      <c r="D677" s="5"/>
      <c r="E677" s="5"/>
      <c r="F677" s="5"/>
      <c r="G677" s="6" t="s">
        <v>377</v>
      </c>
      <c r="H677" s="6"/>
      <c r="I677" s="7" t="str">
        <f>'工程单价费(税)率汇总表'!G18&amp;"%"</f>
        <v>32.8%</v>
      </c>
      <c r="J677" s="15">
        <f>K668</f>
        <v>49.48</v>
      </c>
      <c r="K677" s="15">
        <f t="shared" si="46"/>
        <v>16.23</v>
      </c>
    </row>
    <row r="678" customHeight="1" spans="1:11">
      <c r="A678" s="6" t="s">
        <v>57</v>
      </c>
      <c r="B678" s="5" t="s">
        <v>389</v>
      </c>
      <c r="C678" s="5"/>
      <c r="D678" s="5"/>
      <c r="E678" s="5"/>
      <c r="F678" s="5"/>
      <c r="G678" s="6" t="s">
        <v>377</v>
      </c>
      <c r="H678" s="6"/>
      <c r="I678" s="7" t="str">
        <f>'工程单价费(税)率汇总表'!H18&amp;"%"</f>
        <v>7%</v>
      </c>
      <c r="J678" s="15">
        <f>K667+K676+K677</f>
        <v>626.59</v>
      </c>
      <c r="K678" s="15">
        <f t="shared" si="46"/>
        <v>43.86</v>
      </c>
    </row>
    <row r="679" customHeight="1" spans="1:11">
      <c r="A679" s="6" t="s">
        <v>59</v>
      </c>
      <c r="B679" s="5" t="s">
        <v>207</v>
      </c>
      <c r="C679" s="5"/>
      <c r="D679" s="5"/>
      <c r="E679" s="5"/>
      <c r="F679" s="5"/>
      <c r="G679" s="6" t="s">
        <v>377</v>
      </c>
      <c r="H679" s="6"/>
      <c r="I679" s="7"/>
      <c r="J679" s="7"/>
      <c r="K679" s="15">
        <f>SUM(K680:K680)</f>
        <v>57.2</v>
      </c>
    </row>
    <row r="680" customHeight="1" spans="1:11">
      <c r="A680" s="6"/>
      <c r="B680" s="5" t="s">
        <v>324</v>
      </c>
      <c r="C680" s="5"/>
      <c r="D680" s="5"/>
      <c r="E680" s="5"/>
      <c r="F680" s="5"/>
      <c r="G680" s="6" t="s">
        <v>378</v>
      </c>
      <c r="H680" s="6"/>
      <c r="I680" s="7">
        <f>I669</f>
        <v>14.3</v>
      </c>
      <c r="J680" s="15">
        <v>4</v>
      </c>
      <c r="K680" s="15">
        <f t="shared" ref="K680:K682" si="47">ROUND(I680*J680,2)</f>
        <v>57.2</v>
      </c>
    </row>
    <row r="681" customHeight="1" spans="1:11">
      <c r="A681" s="6" t="s">
        <v>227</v>
      </c>
      <c r="B681" s="5" t="s">
        <v>208</v>
      </c>
      <c r="C681" s="5"/>
      <c r="D681" s="5"/>
      <c r="E681" s="5"/>
      <c r="F681" s="5"/>
      <c r="G681" s="6" t="s">
        <v>377</v>
      </c>
      <c r="H681" s="6"/>
      <c r="I681" s="7" t="str">
        <f>'工程单价费(税)率汇总表'!I18&amp;"%"</f>
        <v>0%</v>
      </c>
      <c r="J681" s="15">
        <f>K667+K676+K677+K678+K679</f>
        <v>727.65</v>
      </c>
      <c r="K681" s="15">
        <f t="shared" si="47"/>
        <v>0</v>
      </c>
    </row>
    <row r="682" customHeight="1" spans="1:11">
      <c r="A682" s="6" t="s">
        <v>223</v>
      </c>
      <c r="B682" s="5" t="s">
        <v>209</v>
      </c>
      <c r="C682" s="5"/>
      <c r="D682" s="5"/>
      <c r="E682" s="5"/>
      <c r="F682" s="5"/>
      <c r="G682" s="6" t="s">
        <v>377</v>
      </c>
      <c r="H682" s="6"/>
      <c r="I682" s="7" t="str">
        <f>'工程单价费(税)率汇总表'!J18&amp;"%"</f>
        <v>9%</v>
      </c>
      <c r="J682" s="15">
        <f>K667+K676+K677+K678+K679+K681</f>
        <v>727.65</v>
      </c>
      <c r="K682" s="15">
        <f t="shared" si="47"/>
        <v>65.49</v>
      </c>
    </row>
    <row r="683" customHeight="1" spans="1:11">
      <c r="A683" s="6"/>
      <c r="B683" s="5" t="s">
        <v>61</v>
      </c>
      <c r="C683" s="5"/>
      <c r="D683" s="5"/>
      <c r="E683" s="5"/>
      <c r="F683" s="5"/>
      <c r="G683" s="6" t="s">
        <v>377</v>
      </c>
      <c r="H683" s="6"/>
      <c r="I683" s="7"/>
      <c r="J683" s="7"/>
      <c r="K683" s="15">
        <f>K667+K676+K677+K678+K679+K681+K682</f>
        <v>793.14</v>
      </c>
    </row>
    <row r="684" customHeight="1" spans="1:11">
      <c r="A684" s="6"/>
      <c r="B684" s="5" t="s">
        <v>391</v>
      </c>
      <c r="C684" s="5"/>
      <c r="D684" s="5"/>
      <c r="E684" s="5"/>
      <c r="F684" s="5"/>
      <c r="G684" s="6" t="s">
        <v>377</v>
      </c>
      <c r="H684" s="6"/>
      <c r="I684" s="7"/>
      <c r="J684" s="7"/>
      <c r="K684" s="15">
        <f>ROUND(K683/100,2)</f>
        <v>7.93</v>
      </c>
    </row>
    <row r="685" customHeight="1" spans="1:11">
      <c r="A685" s="6"/>
      <c r="B685" s="5"/>
      <c r="C685" s="5"/>
      <c r="D685" s="5"/>
      <c r="E685" s="5"/>
      <c r="F685" s="5"/>
      <c r="G685" s="6"/>
      <c r="H685" s="6"/>
      <c r="I685" s="7"/>
      <c r="J685" s="7"/>
      <c r="K685" s="7"/>
    </row>
    <row r="686" customHeight="1" spans="1:11">
      <c r="A686" s="6"/>
      <c r="B686" s="5"/>
      <c r="C686" s="5"/>
      <c r="D686" s="5"/>
      <c r="E686" s="5"/>
      <c r="F686" s="5"/>
      <c r="G686" s="6"/>
      <c r="H686" s="6"/>
      <c r="I686" s="7"/>
      <c r="J686" s="7"/>
      <c r="K686" s="7"/>
    </row>
    <row r="687" customHeight="1" spans="1:11">
      <c r="A687" s="6"/>
      <c r="B687" s="5"/>
      <c r="C687" s="5"/>
      <c r="D687" s="5"/>
      <c r="E687" s="5"/>
      <c r="F687" s="5"/>
      <c r="G687" s="6"/>
      <c r="H687" s="6"/>
      <c r="I687" s="7"/>
      <c r="J687" s="7"/>
      <c r="K687" s="7"/>
    </row>
    <row r="688" customHeight="1" spans="1:11">
      <c r="A688" s="6"/>
      <c r="B688" s="5"/>
      <c r="C688" s="5"/>
      <c r="D688" s="5"/>
      <c r="E688" s="5"/>
      <c r="F688" s="5"/>
      <c r="G688" s="6"/>
      <c r="H688" s="6"/>
      <c r="I688" s="7"/>
      <c r="J688" s="7"/>
      <c r="K688" s="7"/>
    </row>
    <row r="689" customHeight="1" spans="1:11">
      <c r="A689" s="6"/>
      <c r="B689" s="5"/>
      <c r="C689" s="5"/>
      <c r="D689" s="5"/>
      <c r="E689" s="5"/>
      <c r="F689" s="5"/>
      <c r="G689" s="6"/>
      <c r="H689" s="6"/>
      <c r="I689" s="7"/>
      <c r="J689" s="7"/>
      <c r="K689" s="7"/>
    </row>
    <row r="690" customHeight="1" spans="1:11">
      <c r="A690" s="6"/>
      <c r="B690" s="5"/>
      <c r="C690" s="5"/>
      <c r="D690" s="5"/>
      <c r="E690" s="5"/>
      <c r="F690" s="5"/>
      <c r="G690" s="6"/>
      <c r="H690" s="6"/>
      <c r="I690" s="7"/>
      <c r="J690" s="7"/>
      <c r="K690" s="7"/>
    </row>
    <row r="691" customHeight="1" spans="1:11">
      <c r="A691" s="6"/>
      <c r="B691" s="5"/>
      <c r="C691" s="5"/>
      <c r="D691" s="5"/>
      <c r="E691" s="5"/>
      <c r="F691" s="5"/>
      <c r="G691" s="6"/>
      <c r="H691" s="6"/>
      <c r="I691" s="7"/>
      <c r="J691" s="7"/>
      <c r="K691" s="7"/>
    </row>
    <row r="692" customHeight="1" spans="1:11">
      <c r="A692" s="6"/>
      <c r="B692" s="5"/>
      <c r="C692" s="5"/>
      <c r="D692" s="5"/>
      <c r="E692" s="5"/>
      <c r="F692" s="5"/>
      <c r="G692" s="6"/>
      <c r="H692" s="6"/>
      <c r="I692" s="7"/>
      <c r="J692" s="7"/>
      <c r="K692" s="7"/>
    </row>
    <row r="693" customHeight="1" spans="1:11">
      <c r="A693" s="6"/>
      <c r="B693" s="5"/>
      <c r="C693" s="5"/>
      <c r="D693" s="5"/>
      <c r="E693" s="5"/>
      <c r="F693" s="5"/>
      <c r="G693" s="6"/>
      <c r="H693" s="6"/>
      <c r="I693" s="7"/>
      <c r="J693" s="7"/>
      <c r="K693" s="7"/>
    </row>
    <row r="694" customHeight="1" spans="1:11">
      <c r="A694" s="6"/>
      <c r="B694" s="5"/>
      <c r="C694" s="5"/>
      <c r="D694" s="5"/>
      <c r="E694" s="5"/>
      <c r="F694" s="5"/>
      <c r="G694" s="6"/>
      <c r="H694" s="6"/>
      <c r="I694" s="7"/>
      <c r="J694" s="7"/>
      <c r="K694" s="7"/>
    </row>
    <row r="695" customHeight="1" spans="1:11">
      <c r="A695" s="6"/>
      <c r="B695" s="5"/>
      <c r="C695" s="5"/>
      <c r="D695" s="5"/>
      <c r="E695" s="5"/>
      <c r="F695" s="5"/>
      <c r="G695" s="6"/>
      <c r="H695" s="6"/>
      <c r="I695" s="7"/>
      <c r="J695" s="7"/>
      <c r="K695" s="7"/>
    </row>
    <row r="696" customHeight="1" spans="1:11">
      <c r="A696" s="6"/>
      <c r="B696" s="5"/>
      <c r="C696" s="5"/>
      <c r="D696" s="5"/>
      <c r="E696" s="5"/>
      <c r="F696" s="5"/>
      <c r="G696" s="6"/>
      <c r="H696" s="6"/>
      <c r="I696" s="7"/>
      <c r="J696" s="7"/>
      <c r="K696" s="7"/>
    </row>
    <row r="697" customHeight="1" spans="1:11">
      <c r="A697" s="6"/>
      <c r="B697" s="5"/>
      <c r="C697" s="5"/>
      <c r="D697" s="5"/>
      <c r="E697" s="5"/>
      <c r="F697" s="5"/>
      <c r="G697" s="6"/>
      <c r="H697" s="6"/>
      <c r="I697" s="7"/>
      <c r="J697" s="7"/>
      <c r="K697" s="7"/>
    </row>
  </sheetData>
  <mergeCells count="1299">
    <mergeCell ref="A2:K2"/>
    <mergeCell ref="A3:K3"/>
    <mergeCell ref="B4:G4"/>
    <mergeCell ref="H4:K4"/>
    <mergeCell ref="B5:K5"/>
    <mergeCell ref="C6:F6"/>
    <mergeCell ref="G6:H6"/>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19:F19"/>
    <mergeCell ref="G19:H19"/>
    <mergeCell ref="C20:F20"/>
    <mergeCell ref="G20:H20"/>
    <mergeCell ref="C21:F21"/>
    <mergeCell ref="G21:H21"/>
    <mergeCell ref="C22:F22"/>
    <mergeCell ref="G22:H22"/>
    <mergeCell ref="C23:F23"/>
    <mergeCell ref="G23:H23"/>
    <mergeCell ref="C24:F24"/>
    <mergeCell ref="G24:H24"/>
    <mergeCell ref="C25:F25"/>
    <mergeCell ref="G25:H25"/>
    <mergeCell ref="C26:F26"/>
    <mergeCell ref="G26:H26"/>
    <mergeCell ref="C27:F27"/>
    <mergeCell ref="G27:H27"/>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C37:F37"/>
    <mergeCell ref="G37:H37"/>
    <mergeCell ref="A39:K39"/>
    <mergeCell ref="A40:K40"/>
    <mergeCell ref="B41:G41"/>
    <mergeCell ref="H41:K41"/>
    <mergeCell ref="B42:K42"/>
    <mergeCell ref="C43:F43"/>
    <mergeCell ref="G43:H43"/>
    <mergeCell ref="C44:F44"/>
    <mergeCell ref="G44:H44"/>
    <mergeCell ref="C45:F45"/>
    <mergeCell ref="G45:H45"/>
    <mergeCell ref="C46:F46"/>
    <mergeCell ref="G46:H46"/>
    <mergeCell ref="C47:F47"/>
    <mergeCell ref="G47:H47"/>
    <mergeCell ref="C48:F48"/>
    <mergeCell ref="G48:H48"/>
    <mergeCell ref="C49:F49"/>
    <mergeCell ref="G49:H49"/>
    <mergeCell ref="C50:F50"/>
    <mergeCell ref="G50:H50"/>
    <mergeCell ref="C51:F51"/>
    <mergeCell ref="G51:H51"/>
    <mergeCell ref="C52:F52"/>
    <mergeCell ref="G52:H52"/>
    <mergeCell ref="C53:F53"/>
    <mergeCell ref="G53:H53"/>
    <mergeCell ref="C54:F54"/>
    <mergeCell ref="G54:H54"/>
    <mergeCell ref="C55:F55"/>
    <mergeCell ref="G55:H55"/>
    <mergeCell ref="C56:F56"/>
    <mergeCell ref="G56:H56"/>
    <mergeCell ref="C57:F57"/>
    <mergeCell ref="G57:H57"/>
    <mergeCell ref="C58:F58"/>
    <mergeCell ref="G58:H58"/>
    <mergeCell ref="C59:F59"/>
    <mergeCell ref="G59:H59"/>
    <mergeCell ref="C60:F60"/>
    <mergeCell ref="G60:H60"/>
    <mergeCell ref="C61:F61"/>
    <mergeCell ref="G61:H61"/>
    <mergeCell ref="C62:F62"/>
    <mergeCell ref="G62:H62"/>
    <mergeCell ref="C63:F63"/>
    <mergeCell ref="G63:H63"/>
    <mergeCell ref="C64:F64"/>
    <mergeCell ref="G64:H64"/>
    <mergeCell ref="C65:F65"/>
    <mergeCell ref="G65:H65"/>
    <mergeCell ref="C66:F66"/>
    <mergeCell ref="G66:H66"/>
    <mergeCell ref="C67:F67"/>
    <mergeCell ref="G67:H67"/>
    <mergeCell ref="C68:F68"/>
    <mergeCell ref="G68:H68"/>
    <mergeCell ref="C69:F69"/>
    <mergeCell ref="G69:H69"/>
    <mergeCell ref="C70:F70"/>
    <mergeCell ref="G70:H70"/>
    <mergeCell ref="C71:F71"/>
    <mergeCell ref="G71:H71"/>
    <mergeCell ref="C72:F72"/>
    <mergeCell ref="G72:H72"/>
    <mergeCell ref="C73:F73"/>
    <mergeCell ref="G73:H73"/>
    <mergeCell ref="C74:F74"/>
    <mergeCell ref="G74:H74"/>
    <mergeCell ref="A76:K76"/>
    <mergeCell ref="A77:K77"/>
    <mergeCell ref="B78:G78"/>
    <mergeCell ref="H78:K78"/>
    <mergeCell ref="B79:K79"/>
    <mergeCell ref="C80:F80"/>
    <mergeCell ref="G80:H80"/>
    <mergeCell ref="C81:F81"/>
    <mergeCell ref="G81:H81"/>
    <mergeCell ref="C82:F82"/>
    <mergeCell ref="G82:H82"/>
    <mergeCell ref="C83:F83"/>
    <mergeCell ref="G83:H83"/>
    <mergeCell ref="C84:F84"/>
    <mergeCell ref="G84:H84"/>
    <mergeCell ref="C85:F85"/>
    <mergeCell ref="G85:H85"/>
    <mergeCell ref="C86:F86"/>
    <mergeCell ref="G86:H86"/>
    <mergeCell ref="C87:F87"/>
    <mergeCell ref="G87:H87"/>
    <mergeCell ref="C88:F88"/>
    <mergeCell ref="G88:H88"/>
    <mergeCell ref="C89:F89"/>
    <mergeCell ref="G89:H89"/>
    <mergeCell ref="C90:F90"/>
    <mergeCell ref="G90:H90"/>
    <mergeCell ref="C91:F91"/>
    <mergeCell ref="G91:H91"/>
    <mergeCell ref="C92:F92"/>
    <mergeCell ref="G92:H92"/>
    <mergeCell ref="C93:F93"/>
    <mergeCell ref="G93:H93"/>
    <mergeCell ref="C94:F94"/>
    <mergeCell ref="G94:H94"/>
    <mergeCell ref="C95:F95"/>
    <mergeCell ref="G95:H95"/>
    <mergeCell ref="C96:F96"/>
    <mergeCell ref="G96:H96"/>
    <mergeCell ref="C97:F97"/>
    <mergeCell ref="G97:H97"/>
    <mergeCell ref="C98:F98"/>
    <mergeCell ref="G98:H98"/>
    <mergeCell ref="C99:F99"/>
    <mergeCell ref="G99:H99"/>
    <mergeCell ref="C100:F100"/>
    <mergeCell ref="G100:H100"/>
    <mergeCell ref="C101:F101"/>
    <mergeCell ref="G101:H101"/>
    <mergeCell ref="C102:F102"/>
    <mergeCell ref="G102:H102"/>
    <mergeCell ref="C103:F103"/>
    <mergeCell ref="G103:H103"/>
    <mergeCell ref="C104:F104"/>
    <mergeCell ref="G104:H104"/>
    <mergeCell ref="C105:F105"/>
    <mergeCell ref="G105:H105"/>
    <mergeCell ref="C106:F106"/>
    <mergeCell ref="G106:H106"/>
    <mergeCell ref="C107:F107"/>
    <mergeCell ref="G107:H107"/>
    <mergeCell ref="C108:F108"/>
    <mergeCell ref="G108:H108"/>
    <mergeCell ref="C109:F109"/>
    <mergeCell ref="G109:H109"/>
    <mergeCell ref="C110:F110"/>
    <mergeCell ref="G110:H110"/>
    <mergeCell ref="C111:F111"/>
    <mergeCell ref="G111:H111"/>
    <mergeCell ref="A113:K113"/>
    <mergeCell ref="A114:K114"/>
    <mergeCell ref="B115:G115"/>
    <mergeCell ref="H115:K115"/>
    <mergeCell ref="B116:K116"/>
    <mergeCell ref="C117:F117"/>
    <mergeCell ref="G117:H117"/>
    <mergeCell ref="C118:F118"/>
    <mergeCell ref="G118:H118"/>
    <mergeCell ref="C119:F119"/>
    <mergeCell ref="G119:H119"/>
    <mergeCell ref="C120:F120"/>
    <mergeCell ref="G120:H120"/>
    <mergeCell ref="C121:F121"/>
    <mergeCell ref="G121:H121"/>
    <mergeCell ref="C122:F122"/>
    <mergeCell ref="G122:H122"/>
    <mergeCell ref="C123:F123"/>
    <mergeCell ref="G123:H123"/>
    <mergeCell ref="C124:F124"/>
    <mergeCell ref="G124:H124"/>
    <mergeCell ref="C125:F125"/>
    <mergeCell ref="G125:H125"/>
    <mergeCell ref="C126:F126"/>
    <mergeCell ref="G126:H126"/>
    <mergeCell ref="C127:F127"/>
    <mergeCell ref="G127:H127"/>
    <mergeCell ref="C128:F128"/>
    <mergeCell ref="G128:H128"/>
    <mergeCell ref="C129:F129"/>
    <mergeCell ref="G129:H129"/>
    <mergeCell ref="C130:F130"/>
    <mergeCell ref="G130:H130"/>
    <mergeCell ref="C131:F131"/>
    <mergeCell ref="G131:H131"/>
    <mergeCell ref="C132:F132"/>
    <mergeCell ref="G132:H132"/>
    <mergeCell ref="C133:F133"/>
    <mergeCell ref="G133:H133"/>
    <mergeCell ref="C134:F134"/>
    <mergeCell ref="G134:H134"/>
    <mergeCell ref="C135:F135"/>
    <mergeCell ref="G135:H135"/>
    <mergeCell ref="C136:F136"/>
    <mergeCell ref="G136:H136"/>
    <mergeCell ref="C137:F137"/>
    <mergeCell ref="G137:H137"/>
    <mergeCell ref="C138:F138"/>
    <mergeCell ref="G138:H138"/>
    <mergeCell ref="C139:F139"/>
    <mergeCell ref="G139:H139"/>
    <mergeCell ref="C140:F140"/>
    <mergeCell ref="G140:H140"/>
    <mergeCell ref="C141:F141"/>
    <mergeCell ref="G141:H141"/>
    <mergeCell ref="C142:F142"/>
    <mergeCell ref="G142:H142"/>
    <mergeCell ref="C143:F143"/>
    <mergeCell ref="G143:H143"/>
    <mergeCell ref="C144:F144"/>
    <mergeCell ref="G144:H144"/>
    <mergeCell ref="C145:F145"/>
    <mergeCell ref="G145:H145"/>
    <mergeCell ref="C146:F146"/>
    <mergeCell ref="G146:H146"/>
    <mergeCell ref="C147:F147"/>
    <mergeCell ref="G147:H147"/>
    <mergeCell ref="C148:F148"/>
    <mergeCell ref="G148:H148"/>
    <mergeCell ref="A150:K150"/>
    <mergeCell ref="A151:K151"/>
    <mergeCell ref="B152:G152"/>
    <mergeCell ref="H152:K152"/>
    <mergeCell ref="B153:K153"/>
    <mergeCell ref="C154:F154"/>
    <mergeCell ref="G154:H154"/>
    <mergeCell ref="C155:F155"/>
    <mergeCell ref="G155:H155"/>
    <mergeCell ref="C156:F156"/>
    <mergeCell ref="G156:H156"/>
    <mergeCell ref="C157:F157"/>
    <mergeCell ref="G157:H157"/>
    <mergeCell ref="C158:F158"/>
    <mergeCell ref="G158:H158"/>
    <mergeCell ref="C159:F159"/>
    <mergeCell ref="G159:H159"/>
    <mergeCell ref="C160:F160"/>
    <mergeCell ref="G160:H160"/>
    <mergeCell ref="C161:F161"/>
    <mergeCell ref="G161:H161"/>
    <mergeCell ref="C162:F162"/>
    <mergeCell ref="G162:H162"/>
    <mergeCell ref="C163:F163"/>
    <mergeCell ref="G163:H163"/>
    <mergeCell ref="C164:F164"/>
    <mergeCell ref="G164:H164"/>
    <mergeCell ref="C165:F165"/>
    <mergeCell ref="G165:H165"/>
    <mergeCell ref="C166:F166"/>
    <mergeCell ref="G166:H166"/>
    <mergeCell ref="C167:F167"/>
    <mergeCell ref="G167:H167"/>
    <mergeCell ref="C168:F168"/>
    <mergeCell ref="G168:H168"/>
    <mergeCell ref="C169:F169"/>
    <mergeCell ref="G169:H169"/>
    <mergeCell ref="C170:F170"/>
    <mergeCell ref="G170:H170"/>
    <mergeCell ref="C171:F171"/>
    <mergeCell ref="G171:H171"/>
    <mergeCell ref="C172:F172"/>
    <mergeCell ref="G172:H172"/>
    <mergeCell ref="C173:F173"/>
    <mergeCell ref="G173:H173"/>
    <mergeCell ref="C174:F174"/>
    <mergeCell ref="G174:H174"/>
    <mergeCell ref="C175:F175"/>
    <mergeCell ref="G175:H175"/>
    <mergeCell ref="C176:F176"/>
    <mergeCell ref="G176:H176"/>
    <mergeCell ref="C177:F177"/>
    <mergeCell ref="G177:H177"/>
    <mergeCell ref="C178:F178"/>
    <mergeCell ref="G178:H178"/>
    <mergeCell ref="C179:F179"/>
    <mergeCell ref="G179:H179"/>
    <mergeCell ref="C180:F180"/>
    <mergeCell ref="G180:H180"/>
    <mergeCell ref="C181:F181"/>
    <mergeCell ref="G181:H181"/>
    <mergeCell ref="C182:F182"/>
    <mergeCell ref="G182:H182"/>
    <mergeCell ref="C183:F183"/>
    <mergeCell ref="G183:H183"/>
    <mergeCell ref="C184:F184"/>
    <mergeCell ref="G184:H184"/>
    <mergeCell ref="C185:F185"/>
    <mergeCell ref="G185:H185"/>
    <mergeCell ref="A187:K187"/>
    <mergeCell ref="A188:K188"/>
    <mergeCell ref="B189:G189"/>
    <mergeCell ref="H189:K189"/>
    <mergeCell ref="B190:K190"/>
    <mergeCell ref="C191:F191"/>
    <mergeCell ref="G191:H191"/>
    <mergeCell ref="C192:F192"/>
    <mergeCell ref="G192:H192"/>
    <mergeCell ref="C193:F193"/>
    <mergeCell ref="G193:H193"/>
    <mergeCell ref="C194:F194"/>
    <mergeCell ref="G194:H194"/>
    <mergeCell ref="C195:F195"/>
    <mergeCell ref="G195:H195"/>
    <mergeCell ref="C196:F196"/>
    <mergeCell ref="G196:H196"/>
    <mergeCell ref="C197:F197"/>
    <mergeCell ref="G197:H197"/>
    <mergeCell ref="C198:F198"/>
    <mergeCell ref="G198:H198"/>
    <mergeCell ref="C199:F199"/>
    <mergeCell ref="G199:H199"/>
    <mergeCell ref="C200:F200"/>
    <mergeCell ref="G200:H200"/>
    <mergeCell ref="C201:F201"/>
    <mergeCell ref="G201:H201"/>
    <mergeCell ref="C202:F202"/>
    <mergeCell ref="G202:H202"/>
    <mergeCell ref="C203:F203"/>
    <mergeCell ref="G203:H203"/>
    <mergeCell ref="C204:F204"/>
    <mergeCell ref="G204:H204"/>
    <mergeCell ref="C205:F205"/>
    <mergeCell ref="G205:H205"/>
    <mergeCell ref="C206:F206"/>
    <mergeCell ref="G206:H206"/>
    <mergeCell ref="C207:F207"/>
    <mergeCell ref="G207:H207"/>
    <mergeCell ref="C208:F208"/>
    <mergeCell ref="G208:H208"/>
    <mergeCell ref="C209:F209"/>
    <mergeCell ref="G209:H209"/>
    <mergeCell ref="C210:F210"/>
    <mergeCell ref="G210:H210"/>
    <mergeCell ref="C211:F211"/>
    <mergeCell ref="G211:H211"/>
    <mergeCell ref="C212:F212"/>
    <mergeCell ref="G212:H212"/>
    <mergeCell ref="C213:F213"/>
    <mergeCell ref="G213:H213"/>
    <mergeCell ref="C214:F214"/>
    <mergeCell ref="G214:H214"/>
    <mergeCell ref="C215:F215"/>
    <mergeCell ref="G215:H215"/>
    <mergeCell ref="C216:F216"/>
    <mergeCell ref="G216:H216"/>
    <mergeCell ref="C217:F217"/>
    <mergeCell ref="G217:H217"/>
    <mergeCell ref="C218:F218"/>
    <mergeCell ref="G218:H218"/>
    <mergeCell ref="C219:F219"/>
    <mergeCell ref="G219:H219"/>
    <mergeCell ref="C220:F220"/>
    <mergeCell ref="G220:H220"/>
    <mergeCell ref="C221:F221"/>
    <mergeCell ref="G221:H221"/>
    <mergeCell ref="C222:F222"/>
    <mergeCell ref="G222:H222"/>
    <mergeCell ref="A224:K224"/>
    <mergeCell ref="A225:K225"/>
    <mergeCell ref="B226:G226"/>
    <mergeCell ref="H226:K226"/>
    <mergeCell ref="B227:K227"/>
    <mergeCell ref="C228:F228"/>
    <mergeCell ref="G228:H228"/>
    <mergeCell ref="C229:F229"/>
    <mergeCell ref="G229:H229"/>
    <mergeCell ref="C230:F230"/>
    <mergeCell ref="G230:H230"/>
    <mergeCell ref="C231:F231"/>
    <mergeCell ref="G231:H231"/>
    <mergeCell ref="C232:F232"/>
    <mergeCell ref="G232:H232"/>
    <mergeCell ref="C233:F233"/>
    <mergeCell ref="G233:H233"/>
    <mergeCell ref="C234:F234"/>
    <mergeCell ref="G234:H234"/>
    <mergeCell ref="C235:F235"/>
    <mergeCell ref="G235:H235"/>
    <mergeCell ref="C236:F236"/>
    <mergeCell ref="G236:H236"/>
    <mergeCell ref="C237:F237"/>
    <mergeCell ref="G237:H237"/>
    <mergeCell ref="C238:F238"/>
    <mergeCell ref="G238:H238"/>
    <mergeCell ref="C239:F239"/>
    <mergeCell ref="G239:H239"/>
    <mergeCell ref="C240:F240"/>
    <mergeCell ref="G240:H240"/>
    <mergeCell ref="C241:F241"/>
    <mergeCell ref="G241:H241"/>
    <mergeCell ref="C242:F242"/>
    <mergeCell ref="G242:H242"/>
    <mergeCell ref="C243:F243"/>
    <mergeCell ref="G243:H243"/>
    <mergeCell ref="C244:F244"/>
    <mergeCell ref="G244:H244"/>
    <mergeCell ref="C245:F245"/>
    <mergeCell ref="G245:H245"/>
    <mergeCell ref="C246:F246"/>
    <mergeCell ref="G246:H246"/>
    <mergeCell ref="C247:F247"/>
    <mergeCell ref="G247:H247"/>
    <mergeCell ref="C248:F248"/>
    <mergeCell ref="G248:H248"/>
    <mergeCell ref="C249:F249"/>
    <mergeCell ref="G249:H249"/>
    <mergeCell ref="C250:F250"/>
    <mergeCell ref="G250:H250"/>
    <mergeCell ref="C251:F251"/>
    <mergeCell ref="G251:H251"/>
    <mergeCell ref="C252:F252"/>
    <mergeCell ref="G252:H252"/>
    <mergeCell ref="C253:F253"/>
    <mergeCell ref="G253:H253"/>
    <mergeCell ref="C254:F254"/>
    <mergeCell ref="G254:H254"/>
    <mergeCell ref="C255:F255"/>
    <mergeCell ref="G255:H255"/>
    <mergeCell ref="C256:F256"/>
    <mergeCell ref="G256:H256"/>
    <mergeCell ref="A258:K258"/>
    <mergeCell ref="A259:K259"/>
    <mergeCell ref="B260:G260"/>
    <mergeCell ref="H260:K260"/>
    <mergeCell ref="B261:K261"/>
    <mergeCell ref="C262:F262"/>
    <mergeCell ref="G262:H262"/>
    <mergeCell ref="C263:F263"/>
    <mergeCell ref="G263:H263"/>
    <mergeCell ref="C264:F264"/>
    <mergeCell ref="G264:H264"/>
    <mergeCell ref="C265:F265"/>
    <mergeCell ref="G265:H265"/>
    <mergeCell ref="C266:F266"/>
    <mergeCell ref="G266:H266"/>
    <mergeCell ref="C267:F267"/>
    <mergeCell ref="G267:H267"/>
    <mergeCell ref="C268:F268"/>
    <mergeCell ref="G268:H268"/>
    <mergeCell ref="C269:F269"/>
    <mergeCell ref="G269:H269"/>
    <mergeCell ref="C270:F270"/>
    <mergeCell ref="G270:H270"/>
    <mergeCell ref="C271:F271"/>
    <mergeCell ref="G271:H271"/>
    <mergeCell ref="C272:F272"/>
    <mergeCell ref="G272:H272"/>
    <mergeCell ref="C273:F273"/>
    <mergeCell ref="G273:H273"/>
    <mergeCell ref="C274:F274"/>
    <mergeCell ref="G274:H274"/>
    <mergeCell ref="C275:F275"/>
    <mergeCell ref="G275:H275"/>
    <mergeCell ref="C276:F276"/>
    <mergeCell ref="G276:H276"/>
    <mergeCell ref="C277:F277"/>
    <mergeCell ref="G277:H277"/>
    <mergeCell ref="C278:F278"/>
    <mergeCell ref="G278:H278"/>
    <mergeCell ref="C279:F279"/>
    <mergeCell ref="G279:H279"/>
    <mergeCell ref="C280:F280"/>
    <mergeCell ref="G280:H280"/>
    <mergeCell ref="C281:F281"/>
    <mergeCell ref="G281:H281"/>
    <mergeCell ref="C282:F282"/>
    <mergeCell ref="G282:H282"/>
    <mergeCell ref="C283:F283"/>
    <mergeCell ref="G283:H283"/>
    <mergeCell ref="C284:F284"/>
    <mergeCell ref="G284:H284"/>
    <mergeCell ref="C285:F285"/>
    <mergeCell ref="G285:H285"/>
    <mergeCell ref="C286:F286"/>
    <mergeCell ref="G286:H286"/>
    <mergeCell ref="C287:F287"/>
    <mergeCell ref="G287:H287"/>
    <mergeCell ref="C288:F288"/>
    <mergeCell ref="G288:H288"/>
    <mergeCell ref="C289:F289"/>
    <mergeCell ref="G289:H289"/>
    <mergeCell ref="C290:F290"/>
    <mergeCell ref="G290:H290"/>
    <mergeCell ref="C291:F291"/>
    <mergeCell ref="G291:H291"/>
    <mergeCell ref="A293:K293"/>
    <mergeCell ref="A294:K294"/>
    <mergeCell ref="B295:G295"/>
    <mergeCell ref="H295:K295"/>
    <mergeCell ref="B296:K296"/>
    <mergeCell ref="C297:F297"/>
    <mergeCell ref="G297:H297"/>
    <mergeCell ref="C298:F298"/>
    <mergeCell ref="G298:H298"/>
    <mergeCell ref="C299:F299"/>
    <mergeCell ref="G299:H299"/>
    <mergeCell ref="C300:F300"/>
    <mergeCell ref="G300:H300"/>
    <mergeCell ref="C301:F301"/>
    <mergeCell ref="G301:H301"/>
    <mergeCell ref="C302:F302"/>
    <mergeCell ref="G302:H302"/>
    <mergeCell ref="C303:F303"/>
    <mergeCell ref="G303:H303"/>
    <mergeCell ref="C304:F304"/>
    <mergeCell ref="G304:H304"/>
    <mergeCell ref="C305:F305"/>
    <mergeCell ref="G305:H305"/>
    <mergeCell ref="C306:F306"/>
    <mergeCell ref="G306:H306"/>
    <mergeCell ref="C307:F307"/>
    <mergeCell ref="G307:H307"/>
    <mergeCell ref="C308:F308"/>
    <mergeCell ref="G308:H308"/>
    <mergeCell ref="C309:F309"/>
    <mergeCell ref="G309:H309"/>
    <mergeCell ref="C310:F310"/>
    <mergeCell ref="G310:H310"/>
    <mergeCell ref="C311:F311"/>
    <mergeCell ref="G311:H311"/>
    <mergeCell ref="C312:F312"/>
    <mergeCell ref="G312:H312"/>
    <mergeCell ref="C313:F313"/>
    <mergeCell ref="G313:H313"/>
    <mergeCell ref="C314:F314"/>
    <mergeCell ref="G314:H314"/>
    <mergeCell ref="C315:F315"/>
    <mergeCell ref="G315:H315"/>
    <mergeCell ref="C316:F316"/>
    <mergeCell ref="G316:H316"/>
    <mergeCell ref="C317:F317"/>
    <mergeCell ref="G317:H317"/>
    <mergeCell ref="C318:F318"/>
    <mergeCell ref="G318:H318"/>
    <mergeCell ref="C319:F319"/>
    <mergeCell ref="G319:H319"/>
    <mergeCell ref="C320:F320"/>
    <mergeCell ref="G320:H320"/>
    <mergeCell ref="C321:F321"/>
    <mergeCell ref="G321:H321"/>
    <mergeCell ref="C322:F322"/>
    <mergeCell ref="G322:H322"/>
    <mergeCell ref="C323:F323"/>
    <mergeCell ref="G323:H323"/>
    <mergeCell ref="C324:F324"/>
    <mergeCell ref="G324:H324"/>
    <mergeCell ref="C325:F325"/>
    <mergeCell ref="G325:H325"/>
    <mergeCell ref="C326:F326"/>
    <mergeCell ref="G326:H326"/>
    <mergeCell ref="C327:F327"/>
    <mergeCell ref="G327:H327"/>
    <mergeCell ref="C328:F328"/>
    <mergeCell ref="G328:H328"/>
    <mergeCell ref="A330:K330"/>
    <mergeCell ref="A331:K331"/>
    <mergeCell ref="B332:G332"/>
    <mergeCell ref="H332:K332"/>
    <mergeCell ref="B333:K333"/>
    <mergeCell ref="C334:F334"/>
    <mergeCell ref="G334:H334"/>
    <mergeCell ref="C335:F335"/>
    <mergeCell ref="G335:H335"/>
    <mergeCell ref="C336:F336"/>
    <mergeCell ref="G336:H336"/>
    <mergeCell ref="C337:F337"/>
    <mergeCell ref="G337:H337"/>
    <mergeCell ref="C338:F338"/>
    <mergeCell ref="G338:H338"/>
    <mergeCell ref="C339:F339"/>
    <mergeCell ref="G339:H339"/>
    <mergeCell ref="C340:F340"/>
    <mergeCell ref="G340:H340"/>
    <mergeCell ref="C341:F341"/>
    <mergeCell ref="G341:H341"/>
    <mergeCell ref="C342:F342"/>
    <mergeCell ref="G342:H342"/>
    <mergeCell ref="C343:F343"/>
    <mergeCell ref="G343:H343"/>
    <mergeCell ref="C344:F344"/>
    <mergeCell ref="G344:H344"/>
    <mergeCell ref="C345:F345"/>
    <mergeCell ref="G345:H345"/>
    <mergeCell ref="C346:F346"/>
    <mergeCell ref="G346:H346"/>
    <mergeCell ref="C347:F347"/>
    <mergeCell ref="G347:H347"/>
    <mergeCell ref="C348:F348"/>
    <mergeCell ref="G348:H348"/>
    <mergeCell ref="C349:F349"/>
    <mergeCell ref="G349:H349"/>
    <mergeCell ref="C350:F350"/>
    <mergeCell ref="G350:H350"/>
    <mergeCell ref="C351:F351"/>
    <mergeCell ref="G351:H351"/>
    <mergeCell ref="C352:F352"/>
    <mergeCell ref="G352:H352"/>
    <mergeCell ref="C353:F353"/>
    <mergeCell ref="G353:H353"/>
    <mergeCell ref="C354:F354"/>
    <mergeCell ref="G354:H354"/>
    <mergeCell ref="C355:F355"/>
    <mergeCell ref="G355:H355"/>
    <mergeCell ref="C356:F356"/>
    <mergeCell ref="G356:H356"/>
    <mergeCell ref="C357:F357"/>
    <mergeCell ref="G357:H357"/>
    <mergeCell ref="C358:F358"/>
    <mergeCell ref="G358:H358"/>
    <mergeCell ref="C359:F359"/>
    <mergeCell ref="G359:H359"/>
    <mergeCell ref="C360:F360"/>
    <mergeCell ref="G360:H360"/>
    <mergeCell ref="C361:F361"/>
    <mergeCell ref="G361:H361"/>
    <mergeCell ref="C362:F362"/>
    <mergeCell ref="G362:H362"/>
    <mergeCell ref="C363:F363"/>
    <mergeCell ref="G363:H363"/>
    <mergeCell ref="C364:F364"/>
    <mergeCell ref="G364:H364"/>
    <mergeCell ref="C365:F365"/>
    <mergeCell ref="G365:H365"/>
    <mergeCell ref="A367:K367"/>
    <mergeCell ref="A368:K368"/>
    <mergeCell ref="B369:G369"/>
    <mergeCell ref="H369:K369"/>
    <mergeCell ref="B370:K370"/>
    <mergeCell ref="C371:F371"/>
    <mergeCell ref="G371:H371"/>
    <mergeCell ref="C372:F372"/>
    <mergeCell ref="G372:H372"/>
    <mergeCell ref="C373:F373"/>
    <mergeCell ref="G373:H373"/>
    <mergeCell ref="C374:F374"/>
    <mergeCell ref="G374:H374"/>
    <mergeCell ref="C375:F375"/>
    <mergeCell ref="G375:H375"/>
    <mergeCell ref="C376:F376"/>
    <mergeCell ref="G376:H376"/>
    <mergeCell ref="C377:F377"/>
    <mergeCell ref="G377:H377"/>
    <mergeCell ref="C378:F378"/>
    <mergeCell ref="G378:H378"/>
    <mergeCell ref="C379:F379"/>
    <mergeCell ref="G379:H379"/>
    <mergeCell ref="C380:F380"/>
    <mergeCell ref="G380:H380"/>
    <mergeCell ref="C381:F381"/>
    <mergeCell ref="G381:H381"/>
    <mergeCell ref="C382:F382"/>
    <mergeCell ref="G382:H382"/>
    <mergeCell ref="C383:F383"/>
    <mergeCell ref="G383:H383"/>
    <mergeCell ref="C384:F384"/>
    <mergeCell ref="G384:H384"/>
    <mergeCell ref="C385:F385"/>
    <mergeCell ref="G385:H385"/>
    <mergeCell ref="C386:F386"/>
    <mergeCell ref="G386:H386"/>
    <mergeCell ref="C387:F387"/>
    <mergeCell ref="G387:H387"/>
    <mergeCell ref="C388:F388"/>
    <mergeCell ref="G388:H388"/>
    <mergeCell ref="C389:F389"/>
    <mergeCell ref="G389:H389"/>
    <mergeCell ref="C390:F390"/>
    <mergeCell ref="G390:H390"/>
    <mergeCell ref="C391:F391"/>
    <mergeCell ref="G391:H391"/>
    <mergeCell ref="C392:F392"/>
    <mergeCell ref="G392:H392"/>
    <mergeCell ref="C393:F393"/>
    <mergeCell ref="G393:H393"/>
    <mergeCell ref="C394:F394"/>
    <mergeCell ref="G394:H394"/>
    <mergeCell ref="C395:F395"/>
    <mergeCell ref="G395:H395"/>
    <mergeCell ref="C396:F396"/>
    <mergeCell ref="G396:H396"/>
    <mergeCell ref="C397:F397"/>
    <mergeCell ref="G397:H397"/>
    <mergeCell ref="C398:F398"/>
    <mergeCell ref="G398:H398"/>
    <mergeCell ref="C399:F399"/>
    <mergeCell ref="G399:H399"/>
    <mergeCell ref="C400:F400"/>
    <mergeCell ref="G400:H400"/>
    <mergeCell ref="C401:F401"/>
    <mergeCell ref="G401:H401"/>
    <mergeCell ref="C402:F402"/>
    <mergeCell ref="G402:H402"/>
    <mergeCell ref="A404:K404"/>
    <mergeCell ref="A405:K405"/>
    <mergeCell ref="B406:G406"/>
    <mergeCell ref="H406:K406"/>
    <mergeCell ref="B407:K407"/>
    <mergeCell ref="C408:F408"/>
    <mergeCell ref="G408:H408"/>
    <mergeCell ref="C409:F409"/>
    <mergeCell ref="G409:H409"/>
    <mergeCell ref="C410:F410"/>
    <mergeCell ref="G410:H410"/>
    <mergeCell ref="C411:F411"/>
    <mergeCell ref="G411:H411"/>
    <mergeCell ref="C412:F412"/>
    <mergeCell ref="G412:H412"/>
    <mergeCell ref="C413:F413"/>
    <mergeCell ref="G413:H413"/>
    <mergeCell ref="C414:F414"/>
    <mergeCell ref="G414:H414"/>
    <mergeCell ref="C415:F415"/>
    <mergeCell ref="G415:H415"/>
    <mergeCell ref="C416:F416"/>
    <mergeCell ref="G416:H416"/>
    <mergeCell ref="C417:F417"/>
    <mergeCell ref="G417:H417"/>
    <mergeCell ref="C418:F418"/>
    <mergeCell ref="G418:H418"/>
    <mergeCell ref="C419:F419"/>
    <mergeCell ref="G419:H419"/>
    <mergeCell ref="C420:F420"/>
    <mergeCell ref="G420:H420"/>
    <mergeCell ref="C421:F421"/>
    <mergeCell ref="G421:H421"/>
    <mergeCell ref="C422:F422"/>
    <mergeCell ref="G422:H422"/>
    <mergeCell ref="C423:F423"/>
    <mergeCell ref="G423:H423"/>
    <mergeCell ref="C424:F424"/>
    <mergeCell ref="G424:H424"/>
    <mergeCell ref="C425:F425"/>
    <mergeCell ref="G425:H425"/>
    <mergeCell ref="C426:F426"/>
    <mergeCell ref="G426:H426"/>
    <mergeCell ref="C427:F427"/>
    <mergeCell ref="G427:H427"/>
    <mergeCell ref="C428:F428"/>
    <mergeCell ref="G428:H428"/>
    <mergeCell ref="C429:F429"/>
    <mergeCell ref="G429:H429"/>
    <mergeCell ref="C430:F430"/>
    <mergeCell ref="G430:H430"/>
    <mergeCell ref="C431:F431"/>
    <mergeCell ref="G431:H431"/>
    <mergeCell ref="C432:F432"/>
    <mergeCell ref="G432:H432"/>
    <mergeCell ref="C433:F433"/>
    <mergeCell ref="G433:H433"/>
    <mergeCell ref="C434:F434"/>
    <mergeCell ref="G434:H434"/>
    <mergeCell ref="C435:F435"/>
    <mergeCell ref="G435:H435"/>
    <mergeCell ref="C436:F436"/>
    <mergeCell ref="G436:H436"/>
    <mergeCell ref="C437:F437"/>
    <mergeCell ref="G437:H437"/>
    <mergeCell ref="C438:F438"/>
    <mergeCell ref="G438:H438"/>
    <mergeCell ref="C439:F439"/>
    <mergeCell ref="G439:H439"/>
    <mergeCell ref="A441:K441"/>
    <mergeCell ref="A442:K442"/>
    <mergeCell ref="B443:G443"/>
    <mergeCell ref="H443:K443"/>
    <mergeCell ref="B444:K444"/>
    <mergeCell ref="C445:F445"/>
    <mergeCell ref="G445:H445"/>
    <mergeCell ref="C446:F446"/>
    <mergeCell ref="G446:H446"/>
    <mergeCell ref="C447:F447"/>
    <mergeCell ref="G447:H447"/>
    <mergeCell ref="C448:F448"/>
    <mergeCell ref="G448:H448"/>
    <mergeCell ref="C449:F449"/>
    <mergeCell ref="G449:H449"/>
    <mergeCell ref="C450:F450"/>
    <mergeCell ref="G450:H450"/>
    <mergeCell ref="C451:F451"/>
    <mergeCell ref="G451:H451"/>
    <mergeCell ref="C452:F452"/>
    <mergeCell ref="G452:H452"/>
    <mergeCell ref="C453:F453"/>
    <mergeCell ref="G453:H453"/>
    <mergeCell ref="C454:F454"/>
    <mergeCell ref="G454:H454"/>
    <mergeCell ref="C455:F455"/>
    <mergeCell ref="G455:H455"/>
    <mergeCell ref="C456:F456"/>
    <mergeCell ref="G456:H456"/>
    <mergeCell ref="C457:F457"/>
    <mergeCell ref="G457:H457"/>
    <mergeCell ref="C458:F458"/>
    <mergeCell ref="G458:H458"/>
    <mergeCell ref="C459:F459"/>
    <mergeCell ref="G459:H459"/>
    <mergeCell ref="C460:F460"/>
    <mergeCell ref="G460:H460"/>
    <mergeCell ref="C461:F461"/>
    <mergeCell ref="G461:H461"/>
    <mergeCell ref="C462:F462"/>
    <mergeCell ref="G462:H462"/>
    <mergeCell ref="C463:F463"/>
    <mergeCell ref="G463:H463"/>
    <mergeCell ref="C464:F464"/>
    <mergeCell ref="G464:H464"/>
    <mergeCell ref="C465:F465"/>
    <mergeCell ref="G465:H465"/>
    <mergeCell ref="C466:F466"/>
    <mergeCell ref="G466:H466"/>
    <mergeCell ref="C467:F467"/>
    <mergeCell ref="G467:H467"/>
    <mergeCell ref="C468:F468"/>
    <mergeCell ref="G468:H468"/>
    <mergeCell ref="C469:F469"/>
    <mergeCell ref="G469:H469"/>
    <mergeCell ref="C470:F470"/>
    <mergeCell ref="G470:H470"/>
    <mergeCell ref="C471:F471"/>
    <mergeCell ref="G471:H471"/>
    <mergeCell ref="C472:F472"/>
    <mergeCell ref="G472:H472"/>
    <mergeCell ref="C473:F473"/>
    <mergeCell ref="G473:H473"/>
    <mergeCell ref="C474:F474"/>
    <mergeCell ref="G474:H474"/>
    <mergeCell ref="C475:F475"/>
    <mergeCell ref="G475:H475"/>
    <mergeCell ref="C476:F476"/>
    <mergeCell ref="G476:H476"/>
    <mergeCell ref="A478:K478"/>
    <mergeCell ref="A479:K479"/>
    <mergeCell ref="B480:G480"/>
    <mergeCell ref="H480:K480"/>
    <mergeCell ref="B481:K481"/>
    <mergeCell ref="C482:F482"/>
    <mergeCell ref="G482:H482"/>
    <mergeCell ref="C483:F483"/>
    <mergeCell ref="G483:H483"/>
    <mergeCell ref="C484:F484"/>
    <mergeCell ref="G484:H484"/>
    <mergeCell ref="C485:F485"/>
    <mergeCell ref="G485:H485"/>
    <mergeCell ref="C486:F486"/>
    <mergeCell ref="G486:H486"/>
    <mergeCell ref="C487:F487"/>
    <mergeCell ref="G487:H487"/>
    <mergeCell ref="C488:F488"/>
    <mergeCell ref="G488:H488"/>
    <mergeCell ref="C489:F489"/>
    <mergeCell ref="G489:H489"/>
    <mergeCell ref="C490:F490"/>
    <mergeCell ref="G490:H490"/>
    <mergeCell ref="C491:F491"/>
    <mergeCell ref="G491:H491"/>
    <mergeCell ref="C492:F492"/>
    <mergeCell ref="G492:H492"/>
    <mergeCell ref="C493:F493"/>
    <mergeCell ref="G493:H493"/>
    <mergeCell ref="C494:F494"/>
    <mergeCell ref="G494:H494"/>
    <mergeCell ref="C495:F495"/>
    <mergeCell ref="G495:H495"/>
    <mergeCell ref="C496:F496"/>
    <mergeCell ref="G496:H496"/>
    <mergeCell ref="C497:F497"/>
    <mergeCell ref="G497:H497"/>
    <mergeCell ref="C498:F498"/>
    <mergeCell ref="G498:H498"/>
    <mergeCell ref="C499:F499"/>
    <mergeCell ref="G499:H499"/>
    <mergeCell ref="C500:F500"/>
    <mergeCell ref="G500:H500"/>
    <mergeCell ref="C501:F501"/>
    <mergeCell ref="G501:H501"/>
    <mergeCell ref="C502:F502"/>
    <mergeCell ref="G502:H502"/>
    <mergeCell ref="C503:F503"/>
    <mergeCell ref="G503:H503"/>
    <mergeCell ref="C504:F504"/>
    <mergeCell ref="G504:H504"/>
    <mergeCell ref="C505:F505"/>
    <mergeCell ref="G505:H505"/>
    <mergeCell ref="C506:F506"/>
    <mergeCell ref="G506:H506"/>
    <mergeCell ref="C507:F507"/>
    <mergeCell ref="G507:H507"/>
    <mergeCell ref="C508:F508"/>
    <mergeCell ref="G508:H508"/>
    <mergeCell ref="C509:F509"/>
    <mergeCell ref="G509:H509"/>
    <mergeCell ref="C510:F510"/>
    <mergeCell ref="G510:H510"/>
    <mergeCell ref="C511:F511"/>
    <mergeCell ref="G511:H511"/>
    <mergeCell ref="C512:F512"/>
    <mergeCell ref="G512:H512"/>
    <mergeCell ref="C513:F513"/>
    <mergeCell ref="G513:H513"/>
    <mergeCell ref="A515:K515"/>
    <mergeCell ref="A516:K516"/>
    <mergeCell ref="B517:G517"/>
    <mergeCell ref="H517:K517"/>
    <mergeCell ref="B518:K518"/>
    <mergeCell ref="C519:F519"/>
    <mergeCell ref="G519:H519"/>
    <mergeCell ref="C520:F520"/>
    <mergeCell ref="G520:H520"/>
    <mergeCell ref="C521:F521"/>
    <mergeCell ref="G521:H521"/>
    <mergeCell ref="C522:F522"/>
    <mergeCell ref="G522:H522"/>
    <mergeCell ref="C523:F523"/>
    <mergeCell ref="G523:H523"/>
    <mergeCell ref="C524:F524"/>
    <mergeCell ref="G524:H524"/>
    <mergeCell ref="C525:F525"/>
    <mergeCell ref="G525:H525"/>
    <mergeCell ref="C526:F526"/>
    <mergeCell ref="G526:H526"/>
    <mergeCell ref="C527:F527"/>
    <mergeCell ref="G527:H527"/>
    <mergeCell ref="C528:F528"/>
    <mergeCell ref="G528:H528"/>
    <mergeCell ref="C529:F529"/>
    <mergeCell ref="G529:H529"/>
    <mergeCell ref="C530:F530"/>
    <mergeCell ref="G530:H530"/>
    <mergeCell ref="C531:F531"/>
    <mergeCell ref="G531:H531"/>
    <mergeCell ref="C532:F532"/>
    <mergeCell ref="G532:H532"/>
    <mergeCell ref="C533:F533"/>
    <mergeCell ref="G533:H533"/>
    <mergeCell ref="C534:F534"/>
    <mergeCell ref="G534:H534"/>
    <mergeCell ref="C535:F535"/>
    <mergeCell ref="G535:H535"/>
    <mergeCell ref="C536:F536"/>
    <mergeCell ref="G536:H536"/>
    <mergeCell ref="C537:F537"/>
    <mergeCell ref="G537:H537"/>
    <mergeCell ref="C538:F538"/>
    <mergeCell ref="G538:H538"/>
    <mergeCell ref="C539:F539"/>
    <mergeCell ref="G539:H539"/>
    <mergeCell ref="C540:F540"/>
    <mergeCell ref="G540:H540"/>
    <mergeCell ref="C541:F541"/>
    <mergeCell ref="G541:H541"/>
    <mergeCell ref="C542:F542"/>
    <mergeCell ref="G542:H542"/>
    <mergeCell ref="C543:F543"/>
    <mergeCell ref="G543:H543"/>
    <mergeCell ref="C544:F544"/>
    <mergeCell ref="G544:H544"/>
    <mergeCell ref="C545:F545"/>
    <mergeCell ref="G545:H545"/>
    <mergeCell ref="C546:F546"/>
    <mergeCell ref="G546:H546"/>
    <mergeCell ref="C547:F547"/>
    <mergeCell ref="G547:H547"/>
    <mergeCell ref="C548:F548"/>
    <mergeCell ref="G548:H548"/>
    <mergeCell ref="C549:F549"/>
    <mergeCell ref="G549:H549"/>
    <mergeCell ref="C550:F550"/>
    <mergeCell ref="G550:H550"/>
    <mergeCell ref="A552:K552"/>
    <mergeCell ref="A553:K553"/>
    <mergeCell ref="B554:G554"/>
    <mergeCell ref="H554:K554"/>
    <mergeCell ref="B555:K555"/>
    <mergeCell ref="C556:F556"/>
    <mergeCell ref="G556:H556"/>
    <mergeCell ref="C557:F557"/>
    <mergeCell ref="G557:H557"/>
    <mergeCell ref="C558:F558"/>
    <mergeCell ref="G558:H558"/>
    <mergeCell ref="C559:F559"/>
    <mergeCell ref="G559:H559"/>
    <mergeCell ref="C560:F560"/>
    <mergeCell ref="G560:H560"/>
    <mergeCell ref="C561:F561"/>
    <mergeCell ref="G561:H561"/>
    <mergeCell ref="C562:F562"/>
    <mergeCell ref="G562:H562"/>
    <mergeCell ref="C563:F563"/>
    <mergeCell ref="G563:H563"/>
    <mergeCell ref="C564:F564"/>
    <mergeCell ref="G564:H564"/>
    <mergeCell ref="C565:F565"/>
    <mergeCell ref="G565:H565"/>
    <mergeCell ref="C566:F566"/>
    <mergeCell ref="G566:H566"/>
    <mergeCell ref="C567:F567"/>
    <mergeCell ref="G567:H567"/>
    <mergeCell ref="C568:F568"/>
    <mergeCell ref="G568:H568"/>
    <mergeCell ref="C569:F569"/>
    <mergeCell ref="G569:H569"/>
    <mergeCell ref="C570:F570"/>
    <mergeCell ref="G570:H570"/>
    <mergeCell ref="C571:F571"/>
    <mergeCell ref="G571:H571"/>
    <mergeCell ref="C572:F572"/>
    <mergeCell ref="G572:H572"/>
    <mergeCell ref="C573:F573"/>
    <mergeCell ref="G573:H573"/>
    <mergeCell ref="C574:F574"/>
    <mergeCell ref="G574:H574"/>
    <mergeCell ref="C575:F575"/>
    <mergeCell ref="G575:H575"/>
    <mergeCell ref="C576:F576"/>
    <mergeCell ref="G576:H576"/>
    <mergeCell ref="C577:F577"/>
    <mergeCell ref="G577:H577"/>
    <mergeCell ref="C578:F578"/>
    <mergeCell ref="G578:H578"/>
    <mergeCell ref="C579:F579"/>
    <mergeCell ref="G579:H579"/>
    <mergeCell ref="C580:F580"/>
    <mergeCell ref="G580:H580"/>
    <mergeCell ref="C581:F581"/>
    <mergeCell ref="G581:H581"/>
    <mergeCell ref="C582:F582"/>
    <mergeCell ref="G582:H582"/>
    <mergeCell ref="C583:F583"/>
    <mergeCell ref="G583:H583"/>
    <mergeCell ref="C584:F584"/>
    <mergeCell ref="G584:H584"/>
    <mergeCell ref="C585:F585"/>
    <mergeCell ref="G585:H585"/>
    <mergeCell ref="C586:F586"/>
    <mergeCell ref="G586:H586"/>
    <mergeCell ref="A588:K588"/>
    <mergeCell ref="A589:K589"/>
    <mergeCell ref="B590:G590"/>
    <mergeCell ref="H590:K590"/>
    <mergeCell ref="B591:K591"/>
    <mergeCell ref="C592:F592"/>
    <mergeCell ref="G592:H592"/>
    <mergeCell ref="C593:F593"/>
    <mergeCell ref="G593:H593"/>
    <mergeCell ref="C594:F594"/>
    <mergeCell ref="G594:H594"/>
    <mergeCell ref="C595:F595"/>
    <mergeCell ref="G595:H595"/>
    <mergeCell ref="C596:F596"/>
    <mergeCell ref="G596:H596"/>
    <mergeCell ref="C597:F597"/>
    <mergeCell ref="G597:H597"/>
    <mergeCell ref="C598:F598"/>
    <mergeCell ref="G598:H598"/>
    <mergeCell ref="C599:F599"/>
    <mergeCell ref="G599:H599"/>
    <mergeCell ref="C600:F600"/>
    <mergeCell ref="G600:H600"/>
    <mergeCell ref="C601:F601"/>
    <mergeCell ref="G601:H601"/>
    <mergeCell ref="C602:F602"/>
    <mergeCell ref="G602:H602"/>
    <mergeCell ref="C603:F603"/>
    <mergeCell ref="G603:H603"/>
    <mergeCell ref="C604:F604"/>
    <mergeCell ref="G604:H604"/>
    <mergeCell ref="C605:F605"/>
    <mergeCell ref="G605:H605"/>
    <mergeCell ref="C606:F606"/>
    <mergeCell ref="G606:H606"/>
    <mergeCell ref="C607:F607"/>
    <mergeCell ref="G607:H607"/>
    <mergeCell ref="C608:F608"/>
    <mergeCell ref="G608:H608"/>
    <mergeCell ref="C609:F609"/>
    <mergeCell ref="G609:H609"/>
    <mergeCell ref="C610:F610"/>
    <mergeCell ref="G610:H610"/>
    <mergeCell ref="C611:F611"/>
    <mergeCell ref="G611:H611"/>
    <mergeCell ref="C612:F612"/>
    <mergeCell ref="G612:H612"/>
    <mergeCell ref="C613:F613"/>
    <mergeCell ref="G613:H613"/>
    <mergeCell ref="C614:F614"/>
    <mergeCell ref="G614:H614"/>
    <mergeCell ref="C615:F615"/>
    <mergeCell ref="G615:H615"/>
    <mergeCell ref="C616:F616"/>
    <mergeCell ref="G616:H616"/>
    <mergeCell ref="C617:F617"/>
    <mergeCell ref="G617:H617"/>
    <mergeCell ref="C618:F618"/>
    <mergeCell ref="G618:H618"/>
    <mergeCell ref="C619:F619"/>
    <mergeCell ref="G619:H619"/>
    <mergeCell ref="C620:F620"/>
    <mergeCell ref="G620:H620"/>
    <mergeCell ref="C621:F621"/>
    <mergeCell ref="G621:H621"/>
    <mergeCell ref="C622:F622"/>
    <mergeCell ref="G622:H622"/>
    <mergeCell ref="C623:F623"/>
    <mergeCell ref="G623:H623"/>
    <mergeCell ref="A625:K625"/>
    <mergeCell ref="A626:K626"/>
    <mergeCell ref="B627:G627"/>
    <mergeCell ref="H627:K627"/>
    <mergeCell ref="B628:K628"/>
    <mergeCell ref="C629:F629"/>
    <mergeCell ref="G629:H629"/>
    <mergeCell ref="C630:F630"/>
    <mergeCell ref="G630:H630"/>
    <mergeCell ref="C631:F631"/>
    <mergeCell ref="G631:H631"/>
    <mergeCell ref="C632:F632"/>
    <mergeCell ref="G632:H632"/>
    <mergeCell ref="C633:F633"/>
    <mergeCell ref="G633:H633"/>
    <mergeCell ref="C634:F634"/>
    <mergeCell ref="G634:H634"/>
    <mergeCell ref="C635:F635"/>
    <mergeCell ref="G635:H635"/>
    <mergeCell ref="C636:F636"/>
    <mergeCell ref="G636:H636"/>
    <mergeCell ref="C637:F637"/>
    <mergeCell ref="G637:H637"/>
    <mergeCell ref="C638:F638"/>
    <mergeCell ref="G638:H638"/>
    <mergeCell ref="C639:F639"/>
    <mergeCell ref="G639:H639"/>
    <mergeCell ref="C640:F640"/>
    <mergeCell ref="G640:H640"/>
    <mergeCell ref="C641:F641"/>
    <mergeCell ref="G641:H641"/>
    <mergeCell ref="C642:F642"/>
    <mergeCell ref="G642:H642"/>
    <mergeCell ref="C643:F643"/>
    <mergeCell ref="G643:H643"/>
    <mergeCell ref="C644:F644"/>
    <mergeCell ref="G644:H644"/>
    <mergeCell ref="C645:F645"/>
    <mergeCell ref="G645:H645"/>
    <mergeCell ref="C646:F646"/>
    <mergeCell ref="G646:H646"/>
    <mergeCell ref="C647:F647"/>
    <mergeCell ref="G647:H647"/>
    <mergeCell ref="C648:F648"/>
    <mergeCell ref="G648:H648"/>
    <mergeCell ref="C649:F649"/>
    <mergeCell ref="G649:H649"/>
    <mergeCell ref="C650:F650"/>
    <mergeCell ref="G650:H650"/>
    <mergeCell ref="C651:F651"/>
    <mergeCell ref="G651:H651"/>
    <mergeCell ref="C652:F652"/>
    <mergeCell ref="G652:H652"/>
    <mergeCell ref="C653:F653"/>
    <mergeCell ref="G653:H653"/>
    <mergeCell ref="C654:F654"/>
    <mergeCell ref="G654:H654"/>
    <mergeCell ref="C655:F655"/>
    <mergeCell ref="G655:H655"/>
    <mergeCell ref="C656:F656"/>
    <mergeCell ref="G656:H656"/>
    <mergeCell ref="C657:F657"/>
    <mergeCell ref="G657:H657"/>
    <mergeCell ref="C658:F658"/>
    <mergeCell ref="G658:H658"/>
    <mergeCell ref="C659:F659"/>
    <mergeCell ref="G659:H659"/>
    <mergeCell ref="C660:F660"/>
    <mergeCell ref="G660:H660"/>
    <mergeCell ref="A662:K662"/>
    <mergeCell ref="A663:K663"/>
    <mergeCell ref="B664:G664"/>
    <mergeCell ref="H664:K664"/>
    <mergeCell ref="B665:K665"/>
    <mergeCell ref="C666:F666"/>
    <mergeCell ref="G666:H666"/>
    <mergeCell ref="C667:F667"/>
    <mergeCell ref="G667:H667"/>
    <mergeCell ref="C668:F668"/>
    <mergeCell ref="G668:H668"/>
    <mergeCell ref="C669:F669"/>
    <mergeCell ref="G669:H669"/>
    <mergeCell ref="C670:F670"/>
    <mergeCell ref="G670:H670"/>
    <mergeCell ref="C671:F671"/>
    <mergeCell ref="G671:H671"/>
    <mergeCell ref="C672:F672"/>
    <mergeCell ref="G672:H672"/>
    <mergeCell ref="C673:F673"/>
    <mergeCell ref="G673:H673"/>
    <mergeCell ref="C674:F674"/>
    <mergeCell ref="G674:H674"/>
    <mergeCell ref="C675:F675"/>
    <mergeCell ref="G675:H675"/>
    <mergeCell ref="C676:F676"/>
    <mergeCell ref="G676:H676"/>
    <mergeCell ref="C677:F677"/>
    <mergeCell ref="G677:H677"/>
    <mergeCell ref="C678:F678"/>
    <mergeCell ref="G678:H678"/>
    <mergeCell ref="C679:F679"/>
    <mergeCell ref="G679:H679"/>
    <mergeCell ref="C680:F680"/>
    <mergeCell ref="G680:H680"/>
    <mergeCell ref="C681:F681"/>
    <mergeCell ref="G681:H681"/>
    <mergeCell ref="C682:F682"/>
    <mergeCell ref="G682:H682"/>
    <mergeCell ref="C683:F683"/>
    <mergeCell ref="G683:H683"/>
    <mergeCell ref="C684:F684"/>
    <mergeCell ref="G684:H684"/>
    <mergeCell ref="C685:F685"/>
    <mergeCell ref="G685:H685"/>
    <mergeCell ref="C686:F686"/>
    <mergeCell ref="G686:H686"/>
    <mergeCell ref="C687:F687"/>
    <mergeCell ref="G687:H687"/>
    <mergeCell ref="C688:F688"/>
    <mergeCell ref="G688:H688"/>
    <mergeCell ref="C689:F689"/>
    <mergeCell ref="G689:H689"/>
    <mergeCell ref="C690:F690"/>
    <mergeCell ref="G690:H690"/>
    <mergeCell ref="C691:F691"/>
    <mergeCell ref="G691:H691"/>
    <mergeCell ref="C692:F692"/>
    <mergeCell ref="G692:H692"/>
    <mergeCell ref="C693:F693"/>
    <mergeCell ref="G693:H693"/>
    <mergeCell ref="C694:F694"/>
    <mergeCell ref="G694:H694"/>
    <mergeCell ref="C695:F695"/>
    <mergeCell ref="G695:H695"/>
    <mergeCell ref="C696:F696"/>
    <mergeCell ref="G696:H696"/>
    <mergeCell ref="C697:F697"/>
    <mergeCell ref="G697:H697"/>
  </mergeCells>
  <pageMargins left="0.90551" right="0" top="0.70866" bottom="0" header="0.55118" footer="0.3937"/>
  <pageSetup paperSize="9" firstPageNumber="17" pageOrder="overThenDown" orientation="portrait" useFirstPageNumber="1" horizontalDpi="300" verticalDpi="300"/>
  <headerFooter alignWithMargins="0" scaleWithDoc="0">
    <oddFooter>&amp;C&amp;P</oddFooter>
  </headerFooter>
  <rowBreaks count="18" manualBreakCount="18">
    <brk id="37" max="255" man="1"/>
    <brk id="74" max="255" man="1"/>
    <brk id="111" max="255" man="1"/>
    <brk id="148" max="255" man="1"/>
    <brk id="185" max="255" man="1"/>
    <brk id="222" max="255" man="1"/>
    <brk id="256" max="255" man="1"/>
    <brk id="291" max="255" man="1"/>
    <brk id="328" max="255" man="1"/>
    <brk id="365" max="255" man="1"/>
    <brk id="402" max="255" man="1"/>
    <brk id="439" max="255" man="1"/>
    <brk id="476" max="255" man="1"/>
    <brk id="513" max="255" man="1"/>
    <brk id="550" max="255" man="1"/>
    <brk id="586" max="255" man="1"/>
    <brk id="623" max="255" man="1"/>
    <brk id="660" max="255"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37"/>
  <sheetViews>
    <sheetView zoomScaleSheetLayoutView="60" workbookViewId="0">
      <selection activeCell="A1" sqref="A1"/>
    </sheetView>
  </sheetViews>
  <sheetFormatPr defaultColWidth="11" defaultRowHeight="18.75" customHeight="1" outlineLevelCol="4"/>
  <cols>
    <col min="1" max="1" width="10.5" style="1" customWidth="1"/>
    <col min="2" max="2" width="21.875" style="1" customWidth="1"/>
    <col min="3" max="3" width="9.375" style="1" customWidth="1"/>
    <col min="4" max="4" width="11.25" style="1" customWidth="1"/>
    <col min="5" max="5" width="25" style="1" customWidth="1"/>
    <col min="6" max="6" width="9.625" style="1" customWidth="1"/>
    <col min="7" max="16384" width="11" style="1"/>
  </cols>
  <sheetData>
    <row r="1" ht="7.5" customHeight="1" spans="1:5">
      <c r="A1" s="3"/>
      <c r="B1" s="8"/>
      <c r="C1" s="8"/>
      <c r="D1" s="8"/>
      <c r="E1" s="8"/>
    </row>
    <row r="2" ht="26.25" customHeight="1" spans="1:5">
      <c r="A2" s="2" t="s">
        <v>447</v>
      </c>
      <c r="B2" s="2"/>
      <c r="C2" s="2"/>
      <c r="D2" s="2"/>
      <c r="E2" s="2"/>
    </row>
    <row r="3" customHeight="1" spans="1:5">
      <c r="A3" s="9" t="s">
        <v>46</v>
      </c>
      <c r="B3" s="3"/>
      <c r="C3" s="3"/>
      <c r="D3" s="3"/>
      <c r="E3" s="3"/>
    </row>
    <row r="4" customHeight="1" spans="1:5">
      <c r="A4" s="9" t="s">
        <v>47</v>
      </c>
      <c r="B4" s="10" t="s">
        <v>0</v>
      </c>
      <c r="C4" s="10"/>
      <c r="D4" s="10"/>
      <c r="E4" s="10"/>
    </row>
    <row r="5" customHeight="1" spans="1:5">
      <c r="A5" s="6" t="s">
        <v>48</v>
      </c>
      <c r="B5" s="6" t="s">
        <v>448</v>
      </c>
      <c r="C5" s="6" t="s">
        <v>449</v>
      </c>
      <c r="D5" s="6" t="s">
        <v>374</v>
      </c>
      <c r="E5" s="6" t="s">
        <v>71</v>
      </c>
    </row>
    <row r="6" customHeight="1" spans="1:5">
      <c r="A6" s="6" t="s">
        <v>51</v>
      </c>
      <c r="B6" s="5" t="s">
        <v>324</v>
      </c>
      <c r="C6" s="6" t="s">
        <v>378</v>
      </c>
      <c r="D6" s="7" t="s">
        <v>450</v>
      </c>
      <c r="E6" s="5"/>
    </row>
    <row r="7" customHeight="1" spans="1:5">
      <c r="A7" s="6" t="s">
        <v>53</v>
      </c>
      <c r="B7" s="5" t="s">
        <v>390</v>
      </c>
      <c r="C7" s="6" t="s">
        <v>378</v>
      </c>
      <c r="D7" s="7" t="s">
        <v>450</v>
      </c>
      <c r="E7" s="5"/>
    </row>
    <row r="8" customHeight="1" spans="1:5">
      <c r="A8" s="6" t="s">
        <v>55</v>
      </c>
      <c r="B8" s="5" t="s">
        <v>406</v>
      </c>
      <c r="C8" s="6" t="s">
        <v>378</v>
      </c>
      <c r="D8" s="7" t="s">
        <v>450</v>
      </c>
      <c r="E8" s="5"/>
    </row>
    <row r="9" customHeight="1" spans="1:5">
      <c r="A9" s="6"/>
      <c r="B9" s="5"/>
      <c r="C9" s="6"/>
      <c r="D9" s="7"/>
      <c r="E9" s="5"/>
    </row>
    <row r="10" customHeight="1" spans="1:5">
      <c r="A10" s="6"/>
      <c r="B10" s="5"/>
      <c r="C10" s="6"/>
      <c r="D10" s="7"/>
      <c r="E10" s="5"/>
    </row>
    <row r="11" customHeight="1" spans="1:5">
      <c r="A11" s="6"/>
      <c r="B11" s="5"/>
      <c r="C11" s="6"/>
      <c r="D11" s="7"/>
      <c r="E11" s="5"/>
    </row>
    <row r="12" customHeight="1" spans="1:5">
      <c r="A12" s="6"/>
      <c r="B12" s="5"/>
      <c r="C12" s="6"/>
      <c r="D12" s="7"/>
      <c r="E12" s="5"/>
    </row>
    <row r="13" customHeight="1" spans="1:5">
      <c r="A13" s="6"/>
      <c r="B13" s="5"/>
      <c r="C13" s="6"/>
      <c r="D13" s="7"/>
      <c r="E13" s="5"/>
    </row>
    <row r="14" customHeight="1" spans="1:5">
      <c r="A14" s="6"/>
      <c r="B14" s="5"/>
      <c r="C14" s="6"/>
      <c r="D14" s="7"/>
      <c r="E14" s="5"/>
    </row>
    <row r="15" customHeight="1" spans="1:5">
      <c r="A15" s="6"/>
      <c r="B15" s="5"/>
      <c r="C15" s="6"/>
      <c r="D15" s="7"/>
      <c r="E15" s="5"/>
    </row>
    <row r="16" customHeight="1" spans="1:5">
      <c r="A16" s="6"/>
      <c r="B16" s="5"/>
      <c r="C16" s="6"/>
      <c r="D16" s="7"/>
      <c r="E16" s="5"/>
    </row>
    <row r="17" customHeight="1" spans="1:5">
      <c r="A17" s="6"/>
      <c r="B17" s="5"/>
      <c r="C17" s="6"/>
      <c r="D17" s="7"/>
      <c r="E17" s="5"/>
    </row>
    <row r="18" customHeight="1" spans="1:5">
      <c r="A18" s="6"/>
      <c r="B18" s="5"/>
      <c r="C18" s="6"/>
      <c r="D18" s="7"/>
      <c r="E18" s="5"/>
    </row>
    <row r="19" customHeight="1" spans="1:5">
      <c r="A19" s="6"/>
      <c r="B19" s="5"/>
      <c r="C19" s="6"/>
      <c r="D19" s="7"/>
      <c r="E19" s="5"/>
    </row>
    <row r="20" customHeight="1" spans="1:5">
      <c r="A20" s="6"/>
      <c r="B20" s="5"/>
      <c r="C20" s="6"/>
      <c r="D20" s="7"/>
      <c r="E20" s="5"/>
    </row>
    <row r="21" customHeight="1" spans="1:5">
      <c r="A21" s="6"/>
      <c r="B21" s="5"/>
      <c r="C21" s="6"/>
      <c r="D21" s="7"/>
      <c r="E21" s="5"/>
    </row>
    <row r="22" customHeight="1" spans="1:5">
      <c r="A22" s="6"/>
      <c r="B22" s="5"/>
      <c r="C22" s="6"/>
      <c r="D22" s="7"/>
      <c r="E22" s="5"/>
    </row>
    <row r="23" customHeight="1" spans="1:5">
      <c r="A23" s="6"/>
      <c r="B23" s="5"/>
      <c r="C23" s="6"/>
      <c r="D23" s="7"/>
      <c r="E23" s="5"/>
    </row>
    <row r="24" customHeight="1" spans="1:5">
      <c r="A24" s="6"/>
      <c r="B24" s="5"/>
      <c r="C24" s="6"/>
      <c r="D24" s="7"/>
      <c r="E24" s="5"/>
    </row>
    <row r="25" customHeight="1" spans="1:5">
      <c r="A25" s="6"/>
      <c r="B25" s="5"/>
      <c r="C25" s="6"/>
      <c r="D25" s="7"/>
      <c r="E25" s="5"/>
    </row>
    <row r="26" customHeight="1" spans="1:5">
      <c r="A26" s="6"/>
      <c r="B26" s="5"/>
      <c r="C26" s="6"/>
      <c r="D26" s="7"/>
      <c r="E26" s="5"/>
    </row>
    <row r="27" customHeight="1" spans="1:5">
      <c r="A27" s="6"/>
      <c r="B27" s="5"/>
      <c r="C27" s="6"/>
      <c r="D27" s="7"/>
      <c r="E27" s="5"/>
    </row>
    <row r="28" customHeight="1" spans="1:5">
      <c r="A28" s="6"/>
      <c r="B28" s="5"/>
      <c r="C28" s="6"/>
      <c r="D28" s="7"/>
      <c r="E28" s="5"/>
    </row>
    <row r="29" customHeight="1" spans="1:5">
      <c r="A29" s="6"/>
      <c r="B29" s="5"/>
      <c r="C29" s="6"/>
      <c r="D29" s="7"/>
      <c r="E29" s="5"/>
    </row>
    <row r="30" customHeight="1" spans="1:5">
      <c r="A30" s="6"/>
      <c r="B30" s="5"/>
      <c r="C30" s="6"/>
      <c r="D30" s="7"/>
      <c r="E30" s="5"/>
    </row>
    <row r="31" customHeight="1" spans="1:5">
      <c r="A31" s="6"/>
      <c r="B31" s="5"/>
      <c r="C31" s="6"/>
      <c r="D31" s="7"/>
      <c r="E31" s="5"/>
    </row>
    <row r="32" customHeight="1" spans="1:5">
      <c r="A32" s="6"/>
      <c r="B32" s="5"/>
      <c r="C32" s="6"/>
      <c r="D32" s="7"/>
      <c r="E32" s="5"/>
    </row>
    <row r="33" customHeight="1" spans="1:5">
      <c r="A33" s="6"/>
      <c r="B33" s="5"/>
      <c r="C33" s="6"/>
      <c r="D33" s="7"/>
      <c r="E33" s="5"/>
    </row>
    <row r="34" customHeight="1" spans="1:5">
      <c r="A34" s="6"/>
      <c r="B34" s="5"/>
      <c r="C34" s="6"/>
      <c r="D34" s="7"/>
      <c r="E34" s="5"/>
    </row>
    <row r="35" customHeight="1" spans="1:5">
      <c r="A35" s="6"/>
      <c r="B35" s="5"/>
      <c r="C35" s="6"/>
      <c r="D35" s="7"/>
      <c r="E35" s="5"/>
    </row>
    <row r="36" customHeight="1" spans="1:5">
      <c r="A36" s="6"/>
      <c r="B36" s="5"/>
      <c r="C36" s="6"/>
      <c r="D36" s="7"/>
      <c r="E36" s="5"/>
    </row>
    <row r="37" customHeight="1" spans="1:5">
      <c r="A37" s="6"/>
      <c r="B37" s="5"/>
      <c r="C37" s="6"/>
      <c r="D37" s="7"/>
      <c r="E37" s="5"/>
    </row>
  </sheetData>
  <mergeCells count="3">
    <mergeCell ref="A2:E2"/>
    <mergeCell ref="B3:E3"/>
    <mergeCell ref="B4:E4"/>
  </mergeCells>
  <pageMargins left="0.90551" right="0" top="0.70866" bottom="0" header="0.55118" footer="0.3937"/>
  <pageSetup paperSize="9" firstPageNumber="36" pageOrder="overThenDown" orientation="portrait" useFirstPageNumber="1" horizontalDpi="300" verticalDpi="300"/>
  <headerFooter alignWithMargins="0" scaleWithDoc="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37"/>
  <sheetViews>
    <sheetView zoomScaleSheetLayoutView="60" workbookViewId="0">
      <selection activeCell="A1" sqref="A1"/>
    </sheetView>
  </sheetViews>
  <sheetFormatPr defaultColWidth="11" defaultRowHeight="18.75" customHeight="1" outlineLevelCol="4"/>
  <cols>
    <col min="1" max="1" width="36.25" style="1" customWidth="1"/>
    <col min="2" max="2" width="7.5" style="1" customWidth="1"/>
    <col min="3" max="5" width="11.25" style="1" customWidth="1"/>
    <col min="6" max="6" width="9.625" style="1" customWidth="1"/>
    <col min="7" max="16384" width="11" style="1"/>
  </cols>
  <sheetData>
    <row r="1" ht="7.5" customHeight="1"/>
    <row r="2" ht="26.25" customHeight="1" spans="1:5">
      <c r="A2" s="2" t="s">
        <v>451</v>
      </c>
      <c r="B2" s="2"/>
      <c r="C2" s="2"/>
      <c r="D2" s="2"/>
      <c r="E2" s="2"/>
    </row>
    <row r="3" customHeight="1" spans="1:5">
      <c r="A3" s="3" t="s">
        <v>452</v>
      </c>
      <c r="B3" s="3"/>
      <c r="C3" s="3"/>
      <c r="D3" s="3"/>
      <c r="E3" s="3"/>
    </row>
    <row r="4" customHeight="1" spans="1:5">
      <c r="A4" s="4" t="s">
        <v>254</v>
      </c>
      <c r="B4" s="4" t="s">
        <v>449</v>
      </c>
      <c r="C4" s="4" t="s">
        <v>453</v>
      </c>
      <c r="D4" s="4" t="s">
        <v>374</v>
      </c>
      <c r="E4" s="4" t="s">
        <v>454</v>
      </c>
    </row>
    <row r="5" customHeight="1" spans="1:5">
      <c r="A5" s="5" t="s">
        <v>257</v>
      </c>
      <c r="B5" s="6" t="s">
        <v>258</v>
      </c>
      <c r="C5" s="7" t="s">
        <v>455</v>
      </c>
      <c r="D5" s="7" t="s">
        <v>456</v>
      </c>
      <c r="E5" s="7" t="s">
        <v>457</v>
      </c>
    </row>
    <row r="6" customHeight="1" spans="1:5">
      <c r="A6" s="5" t="s">
        <v>259</v>
      </c>
      <c r="B6" s="6" t="s">
        <v>82</v>
      </c>
      <c r="C6" s="7" t="s">
        <v>458</v>
      </c>
      <c r="D6" s="7" t="s">
        <v>459</v>
      </c>
      <c r="E6" s="7" t="s">
        <v>460</v>
      </c>
    </row>
    <row r="7" customHeight="1" spans="1:5">
      <c r="A7" s="5" t="s">
        <v>260</v>
      </c>
      <c r="B7" s="6" t="s">
        <v>82</v>
      </c>
      <c r="C7" s="7" t="s">
        <v>461</v>
      </c>
      <c r="D7" s="7" t="s">
        <v>462</v>
      </c>
      <c r="E7" s="7" t="s">
        <v>463</v>
      </c>
    </row>
    <row r="8" customHeight="1" spans="1:5">
      <c r="A8" s="5" t="s">
        <v>284</v>
      </c>
      <c r="B8" s="6" t="s">
        <v>285</v>
      </c>
      <c r="C8" s="7" t="s">
        <v>464</v>
      </c>
      <c r="D8" s="7" t="s">
        <v>286</v>
      </c>
      <c r="E8" s="7" t="s">
        <v>465</v>
      </c>
    </row>
    <row r="9" customHeight="1" spans="1:5">
      <c r="A9" s="5" t="s">
        <v>466</v>
      </c>
      <c r="B9" s="6" t="s">
        <v>289</v>
      </c>
      <c r="C9" s="7" t="s">
        <v>467</v>
      </c>
      <c r="D9" s="7" t="s">
        <v>290</v>
      </c>
      <c r="E9" s="7" t="s">
        <v>468</v>
      </c>
    </row>
    <row r="10" customHeight="1" spans="1:5">
      <c r="A10" s="5" t="s">
        <v>291</v>
      </c>
      <c r="B10" s="6" t="s">
        <v>82</v>
      </c>
      <c r="C10" s="7" t="s">
        <v>469</v>
      </c>
      <c r="D10" s="7" t="s">
        <v>292</v>
      </c>
      <c r="E10" s="7" t="s">
        <v>470</v>
      </c>
    </row>
    <row r="11" customHeight="1" spans="1:5">
      <c r="A11" s="5" t="s">
        <v>471</v>
      </c>
      <c r="B11" s="6" t="s">
        <v>285</v>
      </c>
      <c r="C11" s="7" t="s">
        <v>472</v>
      </c>
      <c r="D11" s="7" t="s">
        <v>295</v>
      </c>
      <c r="E11" s="7" t="s">
        <v>473</v>
      </c>
    </row>
    <row r="12" customHeight="1" spans="1:5">
      <c r="A12" s="5" t="s">
        <v>296</v>
      </c>
      <c r="B12" s="6" t="s">
        <v>285</v>
      </c>
      <c r="C12" s="7" t="s">
        <v>474</v>
      </c>
      <c r="D12" s="7" t="s">
        <v>297</v>
      </c>
      <c r="E12" s="7" t="s">
        <v>475</v>
      </c>
    </row>
    <row r="13" customHeight="1" spans="1:5">
      <c r="A13" s="5" t="s">
        <v>298</v>
      </c>
      <c r="B13" s="6" t="s">
        <v>82</v>
      </c>
      <c r="C13" s="7" t="s">
        <v>476</v>
      </c>
      <c r="D13" s="7" t="s">
        <v>299</v>
      </c>
      <c r="E13" s="7" t="s">
        <v>477</v>
      </c>
    </row>
    <row r="14" customHeight="1" spans="1:5">
      <c r="A14" s="5" t="s">
        <v>300</v>
      </c>
      <c r="B14" s="6" t="s">
        <v>285</v>
      </c>
      <c r="C14" s="7" t="s">
        <v>478</v>
      </c>
      <c r="D14" s="7" t="s">
        <v>301</v>
      </c>
      <c r="E14" s="7" t="s">
        <v>479</v>
      </c>
    </row>
    <row r="15" customHeight="1" spans="1:5">
      <c r="A15" s="5" t="s">
        <v>302</v>
      </c>
      <c r="B15" s="6" t="s">
        <v>285</v>
      </c>
      <c r="C15" s="7" t="s">
        <v>480</v>
      </c>
      <c r="D15" s="7" t="s">
        <v>301</v>
      </c>
      <c r="E15" s="7" t="s">
        <v>481</v>
      </c>
    </row>
    <row r="16" customHeight="1" spans="1:5">
      <c r="A16" s="5" t="s">
        <v>303</v>
      </c>
      <c r="B16" s="6" t="s">
        <v>82</v>
      </c>
      <c r="C16" s="7" t="s">
        <v>482</v>
      </c>
      <c r="D16" s="7" t="s">
        <v>304</v>
      </c>
      <c r="E16" s="7" t="s">
        <v>483</v>
      </c>
    </row>
    <row r="17" customHeight="1" spans="1:5">
      <c r="A17" s="5" t="s">
        <v>305</v>
      </c>
      <c r="B17" s="6" t="s">
        <v>82</v>
      </c>
      <c r="C17" s="7" t="s">
        <v>484</v>
      </c>
      <c r="D17" s="7" t="s">
        <v>306</v>
      </c>
      <c r="E17" s="7" t="s">
        <v>485</v>
      </c>
    </row>
    <row r="18" customHeight="1" spans="1:5">
      <c r="A18" s="5" t="s">
        <v>307</v>
      </c>
      <c r="B18" s="6" t="s">
        <v>82</v>
      </c>
      <c r="C18" s="7" t="s">
        <v>486</v>
      </c>
      <c r="D18" s="7" t="s">
        <v>308</v>
      </c>
      <c r="E18" s="7" t="s">
        <v>487</v>
      </c>
    </row>
    <row r="19" customHeight="1" spans="1:5">
      <c r="A19" s="5" t="s">
        <v>488</v>
      </c>
      <c r="B19" s="6" t="s">
        <v>109</v>
      </c>
      <c r="C19" s="7" t="s">
        <v>489</v>
      </c>
      <c r="D19" s="7" t="s">
        <v>312</v>
      </c>
      <c r="E19" s="7" t="s">
        <v>490</v>
      </c>
    </row>
    <row r="20" ht="27.75" customHeight="1" spans="1:5">
      <c r="A20" s="5" t="s">
        <v>491</v>
      </c>
      <c r="B20" s="6" t="s">
        <v>82</v>
      </c>
      <c r="C20" s="7" t="s">
        <v>492</v>
      </c>
      <c r="D20" s="7" t="s">
        <v>493</v>
      </c>
      <c r="E20" s="7" t="s">
        <v>494</v>
      </c>
    </row>
    <row r="21" customHeight="1" spans="1:5">
      <c r="A21" s="6" t="s">
        <v>495</v>
      </c>
      <c r="B21" s="6"/>
      <c r="C21" s="7"/>
      <c r="D21" s="7"/>
      <c r="E21" s="7" t="s">
        <v>496</v>
      </c>
    </row>
    <row r="22" customHeight="1" spans="1:5">
      <c r="A22" s="5"/>
      <c r="B22" s="6"/>
      <c r="C22" s="7"/>
      <c r="D22" s="7"/>
      <c r="E22" s="7"/>
    </row>
    <row r="23" customHeight="1" spans="1:5">
      <c r="A23" s="5"/>
      <c r="B23" s="6"/>
      <c r="C23" s="7"/>
      <c r="D23" s="7"/>
      <c r="E23" s="7"/>
    </row>
    <row r="24" customHeight="1" spans="1:5">
      <c r="A24" s="5"/>
      <c r="B24" s="6"/>
      <c r="C24" s="7"/>
      <c r="D24" s="7"/>
      <c r="E24" s="7"/>
    </row>
    <row r="25" customHeight="1" spans="1:5">
      <c r="A25" s="5"/>
      <c r="B25" s="6"/>
      <c r="C25" s="7"/>
      <c r="D25" s="7"/>
      <c r="E25" s="7"/>
    </row>
    <row r="26" customHeight="1" spans="1:5">
      <c r="A26" s="5"/>
      <c r="B26" s="6"/>
      <c r="C26" s="7"/>
      <c r="D26" s="7"/>
      <c r="E26" s="7"/>
    </row>
    <row r="27" customHeight="1" spans="1:5">
      <c r="A27" s="5"/>
      <c r="B27" s="6"/>
      <c r="C27" s="7"/>
      <c r="D27" s="7"/>
      <c r="E27" s="7"/>
    </row>
    <row r="28" customHeight="1" spans="1:5">
      <c r="A28" s="5"/>
      <c r="B28" s="6"/>
      <c r="C28" s="7"/>
      <c r="D28" s="7"/>
      <c r="E28" s="7"/>
    </row>
    <row r="29" customHeight="1" spans="1:5">
      <c r="A29" s="5"/>
      <c r="B29" s="6"/>
      <c r="C29" s="7"/>
      <c r="D29" s="7"/>
      <c r="E29" s="7"/>
    </row>
    <row r="30" customHeight="1" spans="1:5">
      <c r="A30" s="5"/>
      <c r="B30" s="6"/>
      <c r="C30" s="7"/>
      <c r="D30" s="7"/>
      <c r="E30" s="7"/>
    </row>
    <row r="31" customHeight="1" spans="1:5">
      <c r="A31" s="5"/>
      <c r="B31" s="6"/>
      <c r="C31" s="7"/>
      <c r="D31" s="7"/>
      <c r="E31" s="7"/>
    </row>
    <row r="32" customHeight="1" spans="1:5">
      <c r="A32" s="5"/>
      <c r="B32" s="6"/>
      <c r="C32" s="7"/>
      <c r="D32" s="7"/>
      <c r="E32" s="7"/>
    </row>
    <row r="33" customHeight="1" spans="1:5">
      <c r="A33" s="5"/>
      <c r="B33" s="6"/>
      <c r="C33" s="7"/>
      <c r="D33" s="7"/>
      <c r="E33" s="7"/>
    </row>
    <row r="34" customHeight="1" spans="1:5">
      <c r="A34" s="5"/>
      <c r="B34" s="6"/>
      <c r="C34" s="7"/>
      <c r="D34" s="7"/>
      <c r="E34" s="7"/>
    </row>
    <row r="35" customHeight="1" spans="1:5">
      <c r="A35" s="5"/>
      <c r="B35" s="6"/>
      <c r="C35" s="7"/>
      <c r="D35" s="7"/>
      <c r="E35" s="7"/>
    </row>
    <row r="36" customHeight="1" spans="1:5">
      <c r="A36" s="5"/>
      <c r="B36" s="6"/>
      <c r="C36" s="7"/>
      <c r="D36" s="7"/>
      <c r="E36" s="7"/>
    </row>
    <row r="37" customHeight="1" spans="1:5">
      <c r="A37" s="5"/>
      <c r="B37" s="6"/>
      <c r="C37" s="7"/>
      <c r="D37" s="7"/>
      <c r="E37" s="7"/>
    </row>
  </sheetData>
  <mergeCells count="2">
    <mergeCell ref="A2:E2"/>
    <mergeCell ref="A3:E3"/>
  </mergeCells>
  <pageMargins left="0.90551" right="0" top="0.70866" bottom="0" header="0.55118" footer="0.3937"/>
  <pageSetup paperSize="9" firstPageNumber="37" pageOrder="overThenDown" orientation="portrait" useFirstPageNumber="1" horizontalDpi="300" verticalDpi="300"/>
  <headerFooter alignWithMargins="0" scaleWithDoc="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37"/>
  <sheetViews>
    <sheetView zoomScaleSheetLayoutView="60" workbookViewId="0">
      <selection activeCell="A1" sqref="A1"/>
    </sheetView>
  </sheetViews>
  <sheetFormatPr defaultColWidth="11" defaultRowHeight="18.75" customHeight="1" outlineLevelCol="4"/>
  <cols>
    <col min="1" max="1" width="36.25" style="1" customWidth="1"/>
    <col min="2" max="2" width="7.5" style="1" customWidth="1"/>
    <col min="3" max="5" width="11.25" style="1" customWidth="1"/>
    <col min="6" max="6" width="9.625" style="1" customWidth="1"/>
    <col min="7" max="16384" width="11" style="1"/>
  </cols>
  <sheetData>
    <row r="1" ht="7.5" customHeight="1"/>
    <row r="2" ht="26.25" customHeight="1" spans="1:5">
      <c r="A2" s="2" t="s">
        <v>497</v>
      </c>
      <c r="B2" s="2"/>
      <c r="C2" s="2"/>
      <c r="D2" s="2"/>
      <c r="E2" s="2"/>
    </row>
    <row r="3" customHeight="1" spans="1:5">
      <c r="A3" s="3" t="s">
        <v>452</v>
      </c>
      <c r="B3" s="3"/>
      <c r="C3" s="3"/>
      <c r="D3" s="3"/>
      <c r="E3" s="3"/>
    </row>
    <row r="4" customHeight="1" spans="1:5">
      <c r="A4" s="4" t="s">
        <v>254</v>
      </c>
      <c r="B4" s="4" t="s">
        <v>449</v>
      </c>
      <c r="C4" s="4" t="s">
        <v>453</v>
      </c>
      <c r="D4" s="4" t="s">
        <v>374</v>
      </c>
      <c r="E4" s="4" t="s">
        <v>454</v>
      </c>
    </row>
    <row r="5" customHeight="1" spans="1:5">
      <c r="A5" s="5" t="s">
        <v>417</v>
      </c>
      <c r="B5" s="6" t="s">
        <v>285</v>
      </c>
      <c r="C5" s="7" t="s">
        <v>498</v>
      </c>
      <c r="D5" s="7" t="s">
        <v>286</v>
      </c>
      <c r="E5" s="7" t="s">
        <v>499</v>
      </c>
    </row>
    <row r="6" customHeight="1" spans="1:5">
      <c r="A6" s="5" t="s">
        <v>420</v>
      </c>
      <c r="B6" s="6" t="s">
        <v>82</v>
      </c>
      <c r="C6" s="7" t="s">
        <v>500</v>
      </c>
      <c r="D6" s="7" t="s">
        <v>501</v>
      </c>
      <c r="E6" s="7" t="s">
        <v>502</v>
      </c>
    </row>
    <row r="7" customHeight="1" spans="1:5">
      <c r="A7" s="5" t="s">
        <v>413</v>
      </c>
      <c r="B7" s="6" t="s">
        <v>289</v>
      </c>
      <c r="C7" s="7" t="s">
        <v>503</v>
      </c>
      <c r="D7" s="7" t="s">
        <v>504</v>
      </c>
      <c r="E7" s="7" t="s">
        <v>505</v>
      </c>
    </row>
    <row r="8" customHeight="1" spans="1:5">
      <c r="A8" s="5" t="s">
        <v>414</v>
      </c>
      <c r="B8" s="6" t="s">
        <v>289</v>
      </c>
      <c r="C8" s="7" t="s">
        <v>506</v>
      </c>
      <c r="D8" s="7" t="s">
        <v>507</v>
      </c>
      <c r="E8" s="7" t="s">
        <v>508</v>
      </c>
    </row>
    <row r="9" customHeight="1" spans="1:5">
      <c r="A9" s="5" t="s">
        <v>418</v>
      </c>
      <c r="B9" s="6" t="s">
        <v>285</v>
      </c>
      <c r="C9" s="7" t="s">
        <v>509</v>
      </c>
      <c r="D9" s="7" t="s">
        <v>510</v>
      </c>
      <c r="E9" s="7" t="s">
        <v>511</v>
      </c>
    </row>
    <row r="10" customHeight="1" spans="1:5">
      <c r="A10" s="5" t="s">
        <v>419</v>
      </c>
      <c r="B10" s="6" t="s">
        <v>285</v>
      </c>
      <c r="C10" s="7" t="s">
        <v>512</v>
      </c>
      <c r="D10" s="7" t="s">
        <v>513</v>
      </c>
      <c r="E10" s="7" t="s">
        <v>514</v>
      </c>
    </row>
    <row r="11" customHeight="1" spans="1:5">
      <c r="A11" s="5" t="s">
        <v>446</v>
      </c>
      <c r="B11" s="6" t="s">
        <v>77</v>
      </c>
      <c r="C11" s="7" t="s">
        <v>515</v>
      </c>
      <c r="D11" s="7" t="s">
        <v>516</v>
      </c>
      <c r="E11" s="7" t="s">
        <v>517</v>
      </c>
    </row>
    <row r="12" customHeight="1" spans="1:5">
      <c r="A12" s="5" t="s">
        <v>426</v>
      </c>
      <c r="B12" s="6" t="s">
        <v>77</v>
      </c>
      <c r="C12" s="7" t="s">
        <v>518</v>
      </c>
      <c r="D12" s="7" t="s">
        <v>519</v>
      </c>
      <c r="E12" s="7" t="s">
        <v>520</v>
      </c>
    </row>
    <row r="13" customHeight="1" spans="1:5">
      <c r="A13" s="6" t="s">
        <v>495</v>
      </c>
      <c r="B13" s="6"/>
      <c r="C13" s="7"/>
      <c r="D13" s="7"/>
      <c r="E13" s="7" t="s">
        <v>521</v>
      </c>
    </row>
    <row r="14" customHeight="1" spans="1:5">
      <c r="A14" s="5"/>
      <c r="B14" s="6"/>
      <c r="C14" s="7"/>
      <c r="D14" s="7"/>
      <c r="E14" s="7"/>
    </row>
    <row r="15" customHeight="1" spans="1:5">
      <c r="A15" s="5"/>
      <c r="B15" s="6"/>
      <c r="C15" s="7"/>
      <c r="D15" s="7"/>
      <c r="E15" s="7"/>
    </row>
    <row r="16" customHeight="1" spans="1:5">
      <c r="A16" s="5"/>
      <c r="B16" s="6"/>
      <c r="C16" s="7"/>
      <c r="D16" s="7"/>
      <c r="E16" s="7"/>
    </row>
    <row r="17" customHeight="1" spans="1:5">
      <c r="A17" s="5"/>
      <c r="B17" s="6"/>
      <c r="C17" s="7"/>
      <c r="D17" s="7"/>
      <c r="E17" s="7"/>
    </row>
    <row r="18" customHeight="1" spans="1:5">
      <c r="A18" s="5"/>
      <c r="B18" s="6"/>
      <c r="C18" s="7"/>
      <c r="D18" s="7"/>
      <c r="E18" s="7"/>
    </row>
    <row r="19" customHeight="1" spans="1:5">
      <c r="A19" s="5"/>
      <c r="B19" s="6"/>
      <c r="C19" s="7"/>
      <c r="D19" s="7"/>
      <c r="E19" s="7"/>
    </row>
    <row r="20" customHeight="1" spans="1:5">
      <c r="A20" s="5"/>
      <c r="B20" s="6"/>
      <c r="C20" s="7"/>
      <c r="D20" s="7"/>
      <c r="E20" s="7"/>
    </row>
    <row r="21" customHeight="1" spans="1:5">
      <c r="A21" s="5"/>
      <c r="B21" s="6"/>
      <c r="C21" s="7"/>
      <c r="D21" s="7"/>
      <c r="E21" s="7"/>
    </row>
    <row r="22" customHeight="1" spans="1:5">
      <c r="A22" s="5"/>
      <c r="B22" s="6"/>
      <c r="C22" s="7"/>
      <c r="D22" s="7"/>
      <c r="E22" s="7"/>
    </row>
    <row r="23" customHeight="1" spans="1:5">
      <c r="A23" s="5"/>
      <c r="B23" s="6"/>
      <c r="C23" s="7"/>
      <c r="D23" s="7"/>
      <c r="E23" s="7"/>
    </row>
    <row r="24" customHeight="1" spans="1:5">
      <c r="A24" s="5"/>
      <c r="B24" s="6"/>
      <c r="C24" s="7"/>
      <c r="D24" s="7"/>
      <c r="E24" s="7"/>
    </row>
    <row r="25" customHeight="1" spans="1:5">
      <c r="A25" s="5"/>
      <c r="B25" s="6"/>
      <c r="C25" s="7"/>
      <c r="D25" s="7"/>
      <c r="E25" s="7"/>
    </row>
    <row r="26" customHeight="1" spans="1:5">
      <c r="A26" s="5"/>
      <c r="B26" s="6"/>
      <c r="C26" s="7"/>
      <c r="D26" s="7"/>
      <c r="E26" s="7"/>
    </row>
    <row r="27" customHeight="1" spans="1:5">
      <c r="A27" s="5"/>
      <c r="B27" s="6"/>
      <c r="C27" s="7"/>
      <c r="D27" s="7"/>
      <c r="E27" s="7"/>
    </row>
    <row r="28" customHeight="1" spans="1:5">
      <c r="A28" s="5"/>
      <c r="B28" s="6"/>
      <c r="C28" s="7"/>
      <c r="D28" s="7"/>
      <c r="E28" s="7"/>
    </row>
    <row r="29" customHeight="1" spans="1:5">
      <c r="A29" s="5"/>
      <c r="B29" s="6"/>
      <c r="C29" s="7"/>
      <c r="D29" s="7"/>
      <c r="E29" s="7"/>
    </row>
    <row r="30" customHeight="1" spans="1:5">
      <c r="A30" s="5"/>
      <c r="B30" s="6"/>
      <c r="C30" s="7"/>
      <c r="D30" s="7"/>
      <c r="E30" s="7"/>
    </row>
    <row r="31" customHeight="1" spans="1:5">
      <c r="A31" s="5"/>
      <c r="B31" s="6"/>
      <c r="C31" s="7"/>
      <c r="D31" s="7"/>
      <c r="E31" s="7"/>
    </row>
    <row r="32" customHeight="1" spans="1:5">
      <c r="A32" s="5"/>
      <c r="B32" s="6"/>
      <c r="C32" s="7"/>
      <c r="D32" s="7"/>
      <c r="E32" s="7"/>
    </row>
    <row r="33" customHeight="1" spans="1:5">
      <c r="A33" s="5"/>
      <c r="B33" s="6"/>
      <c r="C33" s="7"/>
      <c r="D33" s="7"/>
      <c r="E33" s="7"/>
    </row>
    <row r="34" customHeight="1" spans="1:5">
      <c r="A34" s="5"/>
      <c r="B34" s="6"/>
      <c r="C34" s="7"/>
      <c r="D34" s="7"/>
      <c r="E34" s="7"/>
    </row>
    <row r="35" customHeight="1" spans="1:5">
      <c r="A35" s="5"/>
      <c r="B35" s="6"/>
      <c r="C35" s="7"/>
      <c r="D35" s="7"/>
      <c r="E35" s="7"/>
    </row>
    <row r="36" customHeight="1" spans="1:5">
      <c r="A36" s="5"/>
      <c r="B36" s="6"/>
      <c r="C36" s="7"/>
      <c r="D36" s="7"/>
      <c r="E36" s="7"/>
    </row>
    <row r="37" customHeight="1" spans="1:5">
      <c r="A37" s="5"/>
      <c r="B37" s="6"/>
      <c r="C37" s="7"/>
      <c r="D37" s="7"/>
      <c r="E37" s="7"/>
    </row>
  </sheetData>
  <mergeCells count="2">
    <mergeCell ref="A2:E2"/>
    <mergeCell ref="A3:E3"/>
  </mergeCells>
  <pageMargins left="0.90551" right="0" top="0.70866" bottom="0" header="0.55118" footer="0.3937"/>
  <pageSetup paperSize="9" firstPageNumber="38" pageOrder="overThenDown" orientation="portrait" useFirstPageNumber="1" horizontalDpi="300" verticalDpi="300"/>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tabSelected="1" view="pageBreakPreview" zoomScale="85" zoomScaleNormal="100" workbookViewId="0">
      <selection activeCell="G8" sqref="G8:R8"/>
    </sheetView>
  </sheetViews>
  <sheetFormatPr defaultColWidth="10.125" defaultRowHeight="15"/>
  <cols>
    <col min="1" max="1" width="0.25" style="36" customWidth="1"/>
    <col min="2" max="2" width="8.99166666666667" style="36" customWidth="1"/>
    <col min="3" max="3" width="4.24166666666667" style="36" customWidth="1"/>
    <col min="4" max="4" width="0.616666666666667" style="36" customWidth="1"/>
    <col min="5" max="5" width="3.625" style="36" customWidth="1"/>
    <col min="6" max="6" width="6.125" style="36" customWidth="1"/>
    <col min="7" max="7" width="17.625" style="36" customWidth="1"/>
    <col min="8" max="8" width="0.25" style="36" customWidth="1"/>
    <col min="9" max="9" width="0.875" style="36" customWidth="1"/>
    <col min="10" max="10" width="0.25" style="36" customWidth="1"/>
    <col min="11" max="11" width="15.25" style="36" customWidth="1"/>
    <col min="12" max="14" width="0.366666666666667" style="36" customWidth="1"/>
    <col min="15" max="15" width="10.9916666666667" style="36" customWidth="1"/>
    <col min="16" max="16" width="0.741666666666667" style="36" customWidth="1"/>
    <col min="17" max="17" width="7.5" style="36" customWidth="1"/>
    <col min="18" max="18" width="6.375" style="36" customWidth="1"/>
    <col min="19" max="19" width="0.366666666666667" style="36" customWidth="1"/>
    <col min="20" max="20" width="1.99166666666667" style="36" customWidth="1"/>
    <col min="21" max="16384" width="10.1166666666667" style="36" customWidth="1"/>
  </cols>
  <sheetData>
    <row r="1" ht="94.15" customHeight="1" spans="3:15">
      <c r="C1" s="37" t="s">
        <v>0</v>
      </c>
      <c r="D1" s="37" t="s">
        <v>1</v>
      </c>
      <c r="E1" s="37" t="s">
        <v>1</v>
      </c>
      <c r="F1" s="37" t="s">
        <v>1</v>
      </c>
      <c r="G1" s="37" t="s">
        <v>1</v>
      </c>
      <c r="H1" s="37" t="s">
        <v>1</v>
      </c>
      <c r="I1" s="37" t="s">
        <v>1</v>
      </c>
      <c r="J1" s="37" t="s">
        <v>1</v>
      </c>
      <c r="K1" s="37" t="s">
        <v>1</v>
      </c>
      <c r="L1" s="37" t="s">
        <v>1</v>
      </c>
      <c r="M1" s="37" t="s">
        <v>1</v>
      </c>
      <c r="N1" s="37" t="s">
        <v>1</v>
      </c>
      <c r="O1" s="37" t="s">
        <v>1</v>
      </c>
    </row>
    <row r="2" ht="18.1" customHeight="1" spans="3:17">
      <c r="C2" s="37" t="s">
        <v>1</v>
      </c>
      <c r="D2" s="37" t="s">
        <v>1</v>
      </c>
      <c r="E2" s="37" t="s">
        <v>1</v>
      </c>
      <c r="F2" s="37" t="s">
        <v>1</v>
      </c>
      <c r="G2" s="37" t="s">
        <v>1</v>
      </c>
      <c r="H2" s="37" t="s">
        <v>1</v>
      </c>
      <c r="I2" s="37" t="s">
        <v>1</v>
      </c>
      <c r="J2" s="37" t="s">
        <v>1</v>
      </c>
      <c r="K2" s="37" t="s">
        <v>1</v>
      </c>
      <c r="L2" s="37" t="s">
        <v>1</v>
      </c>
      <c r="M2" s="37" t="s">
        <v>1</v>
      </c>
      <c r="N2" s="37" t="s">
        <v>1</v>
      </c>
      <c r="O2" s="37" t="s">
        <v>1</v>
      </c>
      <c r="Q2" s="46"/>
    </row>
    <row r="3" ht="33.75" customHeight="1"/>
    <row r="4" ht="49.5" customHeight="1" spans="1:20">
      <c r="A4" s="38" t="s">
        <v>2</v>
      </c>
      <c r="B4" s="38" t="s">
        <v>2</v>
      </c>
      <c r="C4" s="38" t="s">
        <v>2</v>
      </c>
      <c r="D4" s="38" t="s">
        <v>2</v>
      </c>
      <c r="E4" s="38" t="s">
        <v>2</v>
      </c>
      <c r="F4" s="38" t="s">
        <v>2</v>
      </c>
      <c r="G4" s="38" t="s">
        <v>2</v>
      </c>
      <c r="H4" s="38" t="s">
        <v>2</v>
      </c>
      <c r="I4" s="38" t="s">
        <v>2</v>
      </c>
      <c r="J4" s="38" t="s">
        <v>2</v>
      </c>
      <c r="K4" s="38" t="s">
        <v>2</v>
      </c>
      <c r="L4" s="38" t="s">
        <v>2</v>
      </c>
      <c r="M4" s="38" t="s">
        <v>2</v>
      </c>
      <c r="N4" s="38" t="s">
        <v>2</v>
      </c>
      <c r="O4" s="38" t="s">
        <v>2</v>
      </c>
      <c r="P4" s="38" t="s">
        <v>2</v>
      </c>
      <c r="Q4" s="38" t="s">
        <v>2</v>
      </c>
      <c r="R4" s="38" t="s">
        <v>2</v>
      </c>
      <c r="S4" s="38" t="s">
        <v>2</v>
      </c>
      <c r="T4" s="38" t="s">
        <v>2</v>
      </c>
    </row>
    <row r="5" ht="32.7" customHeight="1"/>
    <row r="6" ht="18.1" customHeight="1" spans="1:18">
      <c r="A6" s="39" t="s">
        <v>10</v>
      </c>
      <c r="B6" s="39" t="s">
        <v>10</v>
      </c>
      <c r="C6" s="39" t="s">
        <v>10</v>
      </c>
      <c r="D6" s="40" t="s">
        <v>11</v>
      </c>
      <c r="E6" s="40" t="s">
        <v>11</v>
      </c>
      <c r="F6" s="40" t="s">
        <v>11</v>
      </c>
      <c r="G6" s="41" t="s">
        <v>12</v>
      </c>
      <c r="H6" s="41" t="s">
        <v>13</v>
      </c>
      <c r="I6" s="41" t="s">
        <v>13</v>
      </c>
      <c r="J6" s="41" t="s">
        <v>13</v>
      </c>
      <c r="K6" s="41" t="s">
        <v>13</v>
      </c>
      <c r="L6" s="41" t="s">
        <v>13</v>
      </c>
      <c r="M6" s="41" t="s">
        <v>13</v>
      </c>
      <c r="N6" s="41" t="s">
        <v>13</v>
      </c>
      <c r="O6" s="41" t="s">
        <v>13</v>
      </c>
      <c r="P6" s="41" t="s">
        <v>13</v>
      </c>
      <c r="Q6" s="41" t="s">
        <v>13</v>
      </c>
      <c r="R6" s="41" t="s">
        <v>13</v>
      </c>
    </row>
    <row r="7" ht="19.05" customHeight="1"/>
    <row r="8" ht="18.1" customHeight="1" spans="4:18">
      <c r="D8" s="40" t="s">
        <v>14</v>
      </c>
      <c r="E8" s="40" t="s">
        <v>14</v>
      </c>
      <c r="F8" s="40" t="s">
        <v>14</v>
      </c>
      <c r="G8" s="42">
        <v>1355014.87</v>
      </c>
      <c r="H8" s="42" t="s">
        <v>15</v>
      </c>
      <c r="I8" s="42" t="s">
        <v>15</v>
      </c>
      <c r="J8" s="42" t="s">
        <v>15</v>
      </c>
      <c r="K8" s="42" t="s">
        <v>15</v>
      </c>
      <c r="L8" s="42" t="s">
        <v>15</v>
      </c>
      <c r="M8" s="42" t="s">
        <v>15</v>
      </c>
      <c r="N8" s="42" t="s">
        <v>15</v>
      </c>
      <c r="O8" s="42" t="s">
        <v>15</v>
      </c>
      <c r="P8" s="42" t="s">
        <v>15</v>
      </c>
      <c r="Q8" s="42" t="s">
        <v>15</v>
      </c>
      <c r="R8" s="42" t="s">
        <v>15</v>
      </c>
    </row>
    <row r="9" ht="31.1" customHeight="1"/>
    <row r="10" ht="42.8" customHeight="1" spans="6:18">
      <c r="F10" s="43" t="s">
        <v>3</v>
      </c>
      <c r="G10" s="43"/>
      <c r="H10" s="43"/>
      <c r="M10" s="43"/>
      <c r="N10" s="43"/>
      <c r="O10" s="43"/>
      <c r="P10" s="43"/>
      <c r="Q10" s="43"/>
      <c r="R10" s="43"/>
    </row>
    <row r="11" ht="18.1" customHeight="1" spans="1:18">
      <c r="A11" s="39" t="s">
        <v>4</v>
      </c>
      <c r="B11" s="39" t="s">
        <v>4</v>
      </c>
      <c r="C11" s="39" t="s">
        <v>4</v>
      </c>
      <c r="D11" s="39" t="s">
        <v>4</v>
      </c>
      <c r="E11" s="39" t="s">
        <v>4</v>
      </c>
      <c r="F11" s="43"/>
      <c r="G11" s="43"/>
      <c r="H11" s="43"/>
      <c r="J11" s="39" t="s">
        <v>6</v>
      </c>
      <c r="K11" s="39" t="s">
        <v>6</v>
      </c>
      <c r="M11" s="43"/>
      <c r="N11" s="43"/>
      <c r="O11" s="43"/>
      <c r="P11" s="43"/>
      <c r="Q11" s="43"/>
      <c r="R11" s="43"/>
    </row>
    <row r="12" ht="5.1" customHeight="1"/>
    <row r="13" ht="18.1" customHeight="1" spans="6:18">
      <c r="F13" s="44" t="s">
        <v>5</v>
      </c>
      <c r="G13" s="44" t="s">
        <v>5</v>
      </c>
      <c r="H13" s="44" t="s">
        <v>5</v>
      </c>
      <c r="M13" s="44" t="s">
        <v>5</v>
      </c>
      <c r="N13" s="44"/>
      <c r="O13" s="44"/>
      <c r="P13" s="44"/>
      <c r="Q13" s="44"/>
      <c r="R13" s="44"/>
    </row>
    <row r="14" ht="66.9" customHeight="1"/>
    <row r="15" ht="35.2" customHeight="1" spans="1:18">
      <c r="A15" s="39" t="s">
        <v>16</v>
      </c>
      <c r="B15" s="39" t="s">
        <v>16</v>
      </c>
      <c r="C15" s="39" t="s">
        <v>16</v>
      </c>
      <c r="D15" s="39" t="s">
        <v>16</v>
      </c>
      <c r="E15" s="39" t="s">
        <v>16</v>
      </c>
      <c r="F15" s="43" t="s">
        <v>17</v>
      </c>
      <c r="G15" s="43" t="s">
        <v>17</v>
      </c>
      <c r="H15" s="43" t="s">
        <v>17</v>
      </c>
      <c r="J15" s="39" t="s">
        <v>16</v>
      </c>
      <c r="K15" s="39" t="s">
        <v>16</v>
      </c>
      <c r="M15" s="43" t="s">
        <v>17</v>
      </c>
      <c r="N15" s="43" t="s">
        <v>17</v>
      </c>
      <c r="O15" s="43" t="s">
        <v>17</v>
      </c>
      <c r="P15" s="43" t="s">
        <v>17</v>
      </c>
      <c r="Q15" s="43" t="s">
        <v>17</v>
      </c>
      <c r="R15" s="43" t="s">
        <v>17</v>
      </c>
    </row>
    <row r="16" ht="5.1" customHeight="1" spans="1:11">
      <c r="A16" s="39" t="s">
        <v>16</v>
      </c>
      <c r="B16" s="39" t="s">
        <v>16</v>
      </c>
      <c r="C16" s="39" t="s">
        <v>16</v>
      </c>
      <c r="D16" s="39" t="s">
        <v>16</v>
      </c>
      <c r="E16" s="39" t="s">
        <v>16</v>
      </c>
      <c r="J16" s="39" t="s">
        <v>16</v>
      </c>
      <c r="K16" s="39" t="s">
        <v>16</v>
      </c>
    </row>
    <row r="17" ht="11.95" customHeight="1" spans="1:18">
      <c r="A17" s="39" t="s">
        <v>16</v>
      </c>
      <c r="B17" s="39" t="s">
        <v>16</v>
      </c>
      <c r="C17" s="39" t="s">
        <v>16</v>
      </c>
      <c r="D17" s="39" t="s">
        <v>16</v>
      </c>
      <c r="E17" s="39" t="s">
        <v>16</v>
      </c>
      <c r="F17" s="44" t="s">
        <v>18</v>
      </c>
      <c r="G17" s="44" t="s">
        <v>18</v>
      </c>
      <c r="H17" s="44" t="s">
        <v>18</v>
      </c>
      <c r="J17" s="39" t="s">
        <v>16</v>
      </c>
      <c r="K17" s="39" t="s">
        <v>16</v>
      </c>
      <c r="M17" s="44" t="s">
        <v>18</v>
      </c>
      <c r="N17" s="44" t="s">
        <v>18</v>
      </c>
      <c r="O17" s="44" t="s">
        <v>18</v>
      </c>
      <c r="P17" s="44" t="s">
        <v>18</v>
      </c>
      <c r="Q17" s="44" t="s">
        <v>18</v>
      </c>
      <c r="R17" s="44" t="s">
        <v>18</v>
      </c>
    </row>
    <row r="18" ht="6.1" customHeight="1" spans="6:18">
      <c r="F18" s="44" t="s">
        <v>18</v>
      </c>
      <c r="G18" s="44" t="s">
        <v>18</v>
      </c>
      <c r="H18" s="44" t="s">
        <v>18</v>
      </c>
      <c r="M18" s="44" t="s">
        <v>18</v>
      </c>
      <c r="N18" s="44" t="s">
        <v>18</v>
      </c>
      <c r="O18" s="44" t="s">
        <v>18</v>
      </c>
      <c r="P18" s="44" t="s">
        <v>18</v>
      </c>
      <c r="Q18" s="44" t="s">
        <v>18</v>
      </c>
      <c r="R18" s="44" t="s">
        <v>18</v>
      </c>
    </row>
    <row r="19" ht="75.45" customHeight="1"/>
    <row r="20" ht="18.1" customHeight="1" spans="2:19">
      <c r="B20" s="39" t="s">
        <v>19</v>
      </c>
      <c r="C20" s="39" t="s">
        <v>19</v>
      </c>
      <c r="D20" s="39" t="s">
        <v>19</v>
      </c>
      <c r="E20" s="39" t="s">
        <v>19</v>
      </c>
      <c r="F20" s="43" t="s">
        <v>17</v>
      </c>
      <c r="G20" s="43" t="s">
        <v>17</v>
      </c>
      <c r="H20" s="43" t="s">
        <v>17</v>
      </c>
      <c r="K20" s="39" t="s">
        <v>20</v>
      </c>
      <c r="L20" s="39" t="s">
        <v>20</v>
      </c>
      <c r="M20" s="39" t="s">
        <v>20</v>
      </c>
      <c r="O20" s="43" t="s">
        <v>17</v>
      </c>
      <c r="P20" s="43" t="s">
        <v>17</v>
      </c>
      <c r="Q20" s="43" t="s">
        <v>17</v>
      </c>
      <c r="R20" s="43" t="s">
        <v>17</v>
      </c>
      <c r="S20" s="43" t="s">
        <v>17</v>
      </c>
    </row>
    <row r="21" ht="5.1" customHeight="1"/>
    <row r="22" ht="18.1" customHeight="1" spans="6:19">
      <c r="F22" s="44" t="s">
        <v>21</v>
      </c>
      <c r="G22" s="44" t="s">
        <v>21</v>
      </c>
      <c r="H22" s="44" t="s">
        <v>21</v>
      </c>
      <c r="O22" s="44" t="s">
        <v>22</v>
      </c>
      <c r="P22" s="44" t="s">
        <v>22</v>
      </c>
      <c r="Q22" s="44" t="s">
        <v>22</v>
      </c>
      <c r="R22" s="44" t="s">
        <v>22</v>
      </c>
      <c r="S22" s="44" t="s">
        <v>22</v>
      </c>
    </row>
    <row r="23" ht="63.6" customHeight="1"/>
    <row r="24" ht="18.1" customHeight="1" spans="1:19">
      <c r="A24" s="39" t="s">
        <v>23</v>
      </c>
      <c r="B24" s="39" t="s">
        <v>23</v>
      </c>
      <c r="C24" s="39" t="s">
        <v>23</v>
      </c>
      <c r="D24" s="39" t="s">
        <v>23</v>
      </c>
      <c r="E24" s="39" t="s">
        <v>23</v>
      </c>
      <c r="F24" s="45" t="s">
        <v>7</v>
      </c>
      <c r="G24" s="45" t="s">
        <v>8</v>
      </c>
      <c r="H24" s="39" t="s">
        <v>24</v>
      </c>
      <c r="I24" s="39" t="s">
        <v>24</v>
      </c>
      <c r="J24" s="39" t="s">
        <v>24</v>
      </c>
      <c r="K24" s="39" t="s">
        <v>24</v>
      </c>
      <c r="L24" s="39" t="s">
        <v>24</v>
      </c>
      <c r="M24" s="39" t="s">
        <v>24</v>
      </c>
      <c r="O24" s="45" t="s">
        <v>7</v>
      </c>
      <c r="P24" s="45" t="s">
        <v>17</v>
      </c>
      <c r="Q24" s="45" t="s">
        <v>17</v>
      </c>
      <c r="R24" s="45" t="s">
        <v>17</v>
      </c>
      <c r="S24" s="45" t="s">
        <v>17</v>
      </c>
    </row>
    <row r="25" ht="21.75" customHeight="1"/>
    <row r="26" ht="18.1" customHeight="1" spans="18:18">
      <c r="R26" s="47" t="s">
        <v>25</v>
      </c>
    </row>
  </sheetData>
  <mergeCells count="29">
    <mergeCell ref="A4:T4"/>
    <mergeCell ref="A6:C6"/>
    <mergeCell ref="D6:F6"/>
    <mergeCell ref="G6:R6"/>
    <mergeCell ref="D8:F8"/>
    <mergeCell ref="G8:R8"/>
    <mergeCell ref="A11:E11"/>
    <mergeCell ref="J11:K11"/>
    <mergeCell ref="F13:H13"/>
    <mergeCell ref="M13:R13"/>
    <mergeCell ref="F15:H15"/>
    <mergeCell ref="M15:R15"/>
    <mergeCell ref="B20:E20"/>
    <mergeCell ref="F20:H20"/>
    <mergeCell ref="K20:M20"/>
    <mergeCell ref="O20:S20"/>
    <mergeCell ref="F22:H22"/>
    <mergeCell ref="O22:S22"/>
    <mergeCell ref="A24:E24"/>
    <mergeCell ref="F24:G24"/>
    <mergeCell ref="H24:M24"/>
    <mergeCell ref="O24:S24"/>
    <mergeCell ref="C1:O2"/>
    <mergeCell ref="F10:H11"/>
    <mergeCell ref="M10:R11"/>
    <mergeCell ref="A15:E17"/>
    <mergeCell ref="J15:K17"/>
    <mergeCell ref="F17:H18"/>
    <mergeCell ref="M17:R18"/>
  </mergeCells>
  <pageMargins left="0.59" right="0.39" top="0.59" bottom="0.39" header="0" footer="0"/>
  <pageSetup paperSize="9" firstPageNumber="0" orientation="portrait" useFirstPageNumber="1" errors="blank" horizontalDpi="3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37"/>
  <sheetViews>
    <sheetView zoomScaleSheetLayoutView="60" workbookViewId="0">
      <selection activeCell="A1" sqref="A1"/>
    </sheetView>
  </sheetViews>
  <sheetFormatPr defaultColWidth="11" defaultRowHeight="18.75" customHeight="1" outlineLevelCol="4"/>
  <cols>
    <col min="1" max="1" width="36.25" style="1" customWidth="1"/>
    <col min="2" max="2" width="7.5" style="1" customWidth="1"/>
    <col min="3" max="5" width="11.25" style="1" customWidth="1"/>
    <col min="6" max="6" width="9.625" style="1" customWidth="1"/>
    <col min="7" max="16384" width="11" style="1"/>
  </cols>
  <sheetData>
    <row r="1" ht="7.5" customHeight="1"/>
    <row r="2" ht="26.25" customHeight="1" spans="1:5">
      <c r="A2" s="2" t="s">
        <v>522</v>
      </c>
      <c r="B2" s="2"/>
      <c r="C2" s="2"/>
      <c r="D2" s="2"/>
      <c r="E2" s="2"/>
    </row>
    <row r="3" customHeight="1" spans="1:5">
      <c r="A3" s="3" t="s">
        <v>452</v>
      </c>
      <c r="B3" s="3"/>
      <c r="C3" s="3"/>
      <c r="D3" s="3"/>
      <c r="E3" s="3"/>
    </row>
    <row r="4" customHeight="1" spans="1:5">
      <c r="A4" s="4" t="s">
        <v>254</v>
      </c>
      <c r="B4" s="4" t="s">
        <v>449</v>
      </c>
      <c r="C4" s="4" t="s">
        <v>453</v>
      </c>
      <c r="D4" s="4" t="s">
        <v>374</v>
      </c>
      <c r="E4" s="4" t="s">
        <v>454</v>
      </c>
    </row>
    <row r="5" customHeight="1" spans="1:5">
      <c r="A5" s="5" t="s">
        <v>523</v>
      </c>
      <c r="B5" s="6" t="s">
        <v>383</v>
      </c>
      <c r="C5" s="7" t="s">
        <v>524</v>
      </c>
      <c r="D5" s="7" t="s">
        <v>525</v>
      </c>
      <c r="E5" s="7" t="s">
        <v>526</v>
      </c>
    </row>
    <row r="6" customHeight="1" spans="1:5">
      <c r="A6" s="5" t="s">
        <v>527</v>
      </c>
      <c r="B6" s="6" t="s">
        <v>383</v>
      </c>
      <c r="C6" s="7" t="s">
        <v>528</v>
      </c>
      <c r="D6" s="7" t="s">
        <v>529</v>
      </c>
      <c r="E6" s="7" t="s">
        <v>530</v>
      </c>
    </row>
    <row r="7" customHeight="1" spans="1:5">
      <c r="A7" s="5" t="s">
        <v>531</v>
      </c>
      <c r="B7" s="6" t="s">
        <v>383</v>
      </c>
      <c r="C7" s="7" t="s">
        <v>532</v>
      </c>
      <c r="D7" s="7" t="s">
        <v>533</v>
      </c>
      <c r="E7" s="7" t="s">
        <v>534</v>
      </c>
    </row>
    <row r="8" customHeight="1" spans="1:5">
      <c r="A8" s="5" t="s">
        <v>535</v>
      </c>
      <c r="B8" s="6" t="s">
        <v>383</v>
      </c>
      <c r="C8" s="7" t="s">
        <v>536</v>
      </c>
      <c r="D8" s="7" t="s">
        <v>537</v>
      </c>
      <c r="E8" s="7" t="s">
        <v>538</v>
      </c>
    </row>
    <row r="9" customHeight="1" spans="1:5">
      <c r="A9" s="5" t="s">
        <v>539</v>
      </c>
      <c r="B9" s="6" t="s">
        <v>383</v>
      </c>
      <c r="C9" s="7" t="s">
        <v>540</v>
      </c>
      <c r="D9" s="7" t="s">
        <v>541</v>
      </c>
      <c r="E9" s="7" t="s">
        <v>542</v>
      </c>
    </row>
    <row r="10" customHeight="1" spans="1:5">
      <c r="A10" s="5" t="s">
        <v>543</v>
      </c>
      <c r="B10" s="6" t="s">
        <v>383</v>
      </c>
      <c r="C10" s="7" t="s">
        <v>540</v>
      </c>
      <c r="D10" s="7" t="s">
        <v>544</v>
      </c>
      <c r="E10" s="7" t="s">
        <v>545</v>
      </c>
    </row>
    <row r="11" customHeight="1" spans="1:5">
      <c r="A11" s="5" t="s">
        <v>335</v>
      </c>
      <c r="B11" s="6" t="s">
        <v>383</v>
      </c>
      <c r="C11" s="7" t="s">
        <v>536</v>
      </c>
      <c r="D11" s="7" t="s">
        <v>546</v>
      </c>
      <c r="E11" s="7" t="s">
        <v>547</v>
      </c>
    </row>
    <row r="12" customHeight="1" spans="1:5">
      <c r="A12" s="5" t="s">
        <v>548</v>
      </c>
      <c r="B12" s="6" t="s">
        <v>383</v>
      </c>
      <c r="C12" s="7" t="s">
        <v>549</v>
      </c>
      <c r="D12" s="7" t="s">
        <v>550</v>
      </c>
      <c r="E12" s="7" t="s">
        <v>551</v>
      </c>
    </row>
    <row r="13" customHeight="1" spans="1:5">
      <c r="A13" s="5" t="s">
        <v>552</v>
      </c>
      <c r="B13" s="6" t="s">
        <v>383</v>
      </c>
      <c r="C13" s="7" t="s">
        <v>553</v>
      </c>
      <c r="D13" s="7" t="s">
        <v>554</v>
      </c>
      <c r="E13" s="7" t="s">
        <v>555</v>
      </c>
    </row>
    <row r="14" customHeight="1" spans="1:5">
      <c r="A14" s="5" t="s">
        <v>556</v>
      </c>
      <c r="B14" s="6" t="s">
        <v>383</v>
      </c>
      <c r="C14" s="7" t="s">
        <v>557</v>
      </c>
      <c r="D14" s="7" t="s">
        <v>558</v>
      </c>
      <c r="E14" s="7" t="s">
        <v>559</v>
      </c>
    </row>
    <row r="15" customHeight="1" spans="1:5">
      <c r="A15" s="5" t="s">
        <v>560</v>
      </c>
      <c r="B15" s="6" t="s">
        <v>383</v>
      </c>
      <c r="C15" s="7" t="s">
        <v>561</v>
      </c>
      <c r="D15" s="7" t="s">
        <v>562</v>
      </c>
      <c r="E15" s="7" t="s">
        <v>563</v>
      </c>
    </row>
    <row r="16" customHeight="1" spans="1:5">
      <c r="A16" s="5" t="s">
        <v>564</v>
      </c>
      <c r="B16" s="6" t="s">
        <v>383</v>
      </c>
      <c r="C16" s="7" t="s">
        <v>565</v>
      </c>
      <c r="D16" s="7" t="s">
        <v>566</v>
      </c>
      <c r="E16" s="7" t="s">
        <v>567</v>
      </c>
    </row>
    <row r="17" customHeight="1" spans="1:5">
      <c r="A17" s="5" t="s">
        <v>568</v>
      </c>
      <c r="B17" s="6" t="s">
        <v>383</v>
      </c>
      <c r="C17" s="7" t="s">
        <v>569</v>
      </c>
      <c r="D17" s="7" t="s">
        <v>570</v>
      </c>
      <c r="E17" s="7" t="s">
        <v>571</v>
      </c>
    </row>
    <row r="18" customHeight="1" spans="1:5">
      <c r="A18" s="5" t="s">
        <v>572</v>
      </c>
      <c r="B18" s="6" t="s">
        <v>383</v>
      </c>
      <c r="C18" s="7" t="s">
        <v>573</v>
      </c>
      <c r="D18" s="7" t="s">
        <v>574</v>
      </c>
      <c r="E18" s="7" t="s">
        <v>575</v>
      </c>
    </row>
    <row r="19" customHeight="1" spans="1:5">
      <c r="A19" s="5" t="s">
        <v>352</v>
      </c>
      <c r="B19" s="6" t="s">
        <v>383</v>
      </c>
      <c r="C19" s="7" t="s">
        <v>576</v>
      </c>
      <c r="D19" s="7" t="s">
        <v>577</v>
      </c>
      <c r="E19" s="7" t="s">
        <v>578</v>
      </c>
    </row>
    <row r="20" customHeight="1" spans="1:5">
      <c r="A20" s="5" t="s">
        <v>579</v>
      </c>
      <c r="B20" s="6" t="s">
        <v>383</v>
      </c>
      <c r="C20" s="7" t="s">
        <v>580</v>
      </c>
      <c r="D20" s="7" t="s">
        <v>581</v>
      </c>
      <c r="E20" s="7" t="s">
        <v>582</v>
      </c>
    </row>
    <row r="21" customHeight="1" spans="1:5">
      <c r="A21" s="5" t="s">
        <v>583</v>
      </c>
      <c r="B21" s="6" t="s">
        <v>383</v>
      </c>
      <c r="C21" s="7" t="s">
        <v>584</v>
      </c>
      <c r="D21" s="7" t="s">
        <v>585</v>
      </c>
      <c r="E21" s="7" t="s">
        <v>586</v>
      </c>
    </row>
    <row r="22" customHeight="1" spans="1:5">
      <c r="A22" s="5" t="s">
        <v>587</v>
      </c>
      <c r="B22" s="6" t="s">
        <v>383</v>
      </c>
      <c r="C22" s="7" t="s">
        <v>588</v>
      </c>
      <c r="D22" s="7" t="s">
        <v>589</v>
      </c>
      <c r="E22" s="7" t="s">
        <v>590</v>
      </c>
    </row>
    <row r="23" customHeight="1" spans="1:5">
      <c r="A23" s="5" t="s">
        <v>364</v>
      </c>
      <c r="B23" s="6" t="s">
        <v>383</v>
      </c>
      <c r="C23" s="7" t="s">
        <v>591</v>
      </c>
      <c r="D23" s="7" t="s">
        <v>592</v>
      </c>
      <c r="E23" s="7" t="s">
        <v>593</v>
      </c>
    </row>
    <row r="24" customHeight="1" spans="1:5">
      <c r="A24" s="5" t="s">
        <v>594</v>
      </c>
      <c r="B24" s="6" t="s">
        <v>383</v>
      </c>
      <c r="C24" s="7" t="s">
        <v>595</v>
      </c>
      <c r="D24" s="7" t="s">
        <v>596</v>
      </c>
      <c r="E24" s="7" t="s">
        <v>597</v>
      </c>
    </row>
    <row r="25" customHeight="1" spans="1:5">
      <c r="A25" s="6" t="s">
        <v>495</v>
      </c>
      <c r="B25" s="6"/>
      <c r="C25" s="7"/>
      <c r="D25" s="7"/>
      <c r="E25" s="7" t="s">
        <v>598</v>
      </c>
    </row>
    <row r="26" customHeight="1" spans="1:5">
      <c r="A26" s="5"/>
      <c r="B26" s="6"/>
      <c r="C26" s="7"/>
      <c r="D26" s="7"/>
      <c r="E26" s="7"/>
    </row>
    <row r="27" customHeight="1" spans="1:5">
      <c r="A27" s="5"/>
      <c r="B27" s="6"/>
      <c r="C27" s="7"/>
      <c r="D27" s="7"/>
      <c r="E27" s="7"/>
    </row>
    <row r="28" customHeight="1" spans="1:5">
      <c r="A28" s="5"/>
      <c r="B28" s="6"/>
      <c r="C28" s="7"/>
      <c r="D28" s="7"/>
      <c r="E28" s="7"/>
    </row>
    <row r="29" customHeight="1" spans="1:5">
      <c r="A29" s="5"/>
      <c r="B29" s="6"/>
      <c r="C29" s="7"/>
      <c r="D29" s="7"/>
      <c r="E29" s="7"/>
    </row>
    <row r="30" customHeight="1" spans="1:5">
      <c r="A30" s="5"/>
      <c r="B30" s="6"/>
      <c r="C30" s="7"/>
      <c r="D30" s="7"/>
      <c r="E30" s="7"/>
    </row>
    <row r="31" customHeight="1" spans="1:5">
      <c r="A31" s="5"/>
      <c r="B31" s="6"/>
      <c r="C31" s="7"/>
      <c r="D31" s="7"/>
      <c r="E31" s="7"/>
    </row>
    <row r="32" customHeight="1" spans="1:5">
      <c r="A32" s="5"/>
      <c r="B32" s="6"/>
      <c r="C32" s="7"/>
      <c r="D32" s="7"/>
      <c r="E32" s="7"/>
    </row>
    <row r="33" customHeight="1" spans="1:5">
      <c r="A33" s="5"/>
      <c r="B33" s="6"/>
      <c r="C33" s="7"/>
      <c r="D33" s="7"/>
      <c r="E33" s="7"/>
    </row>
    <row r="34" customHeight="1" spans="1:5">
      <c r="A34" s="5"/>
      <c r="B34" s="6"/>
      <c r="C34" s="7"/>
      <c r="D34" s="7"/>
      <c r="E34" s="7"/>
    </row>
    <row r="35" customHeight="1" spans="1:5">
      <c r="A35" s="5"/>
      <c r="B35" s="6"/>
      <c r="C35" s="7"/>
      <c r="D35" s="7"/>
      <c r="E35" s="7"/>
    </row>
    <row r="36" customHeight="1" spans="1:5">
      <c r="A36" s="5"/>
      <c r="B36" s="6"/>
      <c r="C36" s="7"/>
      <c r="D36" s="7"/>
      <c r="E36" s="7"/>
    </row>
    <row r="37" customHeight="1" spans="1:5">
      <c r="A37" s="5"/>
      <c r="B37" s="6"/>
      <c r="C37" s="7"/>
      <c r="D37" s="7"/>
      <c r="E37" s="7"/>
    </row>
  </sheetData>
  <mergeCells count="2">
    <mergeCell ref="A2:E2"/>
    <mergeCell ref="A3:E3"/>
  </mergeCells>
  <pageMargins left="0.90551" right="0" top="0.70866" bottom="0" header="0.55118" footer="0.3937"/>
  <pageSetup paperSize="9" firstPageNumber="39" pageOrder="overThenDown" orientation="portrait" useFirstPageNumber="1" horizontalDpi="300" verticalDpi="300"/>
  <headerFooter alignWithMargins="0" scaleWithDoc="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showGridLines="0" view="pageBreakPreview" zoomScaleNormal="100" workbookViewId="0">
      <selection activeCell="E17" sqref="E17"/>
    </sheetView>
  </sheetViews>
  <sheetFormatPr defaultColWidth="9" defaultRowHeight="13.5" outlineLevelCol="1"/>
  <cols>
    <col min="1" max="1" width="76.7666666666667" style="30" customWidth="1"/>
    <col min="2" max="2" width="17.625" style="30" customWidth="1"/>
    <col min="3" max="16384" width="9" style="30"/>
  </cols>
  <sheetData>
    <row r="1" ht="60" customHeight="1" spans="1:2">
      <c r="A1" s="31" t="s">
        <v>26</v>
      </c>
      <c r="B1" s="31" t="s">
        <v>17</v>
      </c>
    </row>
    <row r="2" ht="18" customHeight="1" spans="1:2">
      <c r="A2" s="32" t="s">
        <v>27</v>
      </c>
      <c r="B2" s="33" t="s">
        <v>28</v>
      </c>
    </row>
    <row r="3" ht="18" customHeight="1" spans="1:2">
      <c r="A3" s="34" t="s">
        <v>29</v>
      </c>
      <c r="B3" s="34" t="s">
        <v>17</v>
      </c>
    </row>
    <row r="4" ht="18" customHeight="1" spans="1:2">
      <c r="A4" s="34" t="s">
        <v>17</v>
      </c>
      <c r="B4" s="34" t="s">
        <v>17</v>
      </c>
    </row>
    <row r="5" ht="24" customHeight="1" spans="1:2">
      <c r="A5" s="34" t="s">
        <v>30</v>
      </c>
      <c r="B5" s="34" t="s">
        <v>17</v>
      </c>
    </row>
    <row r="6" ht="18" customHeight="1" spans="1:2">
      <c r="A6" s="34" t="s">
        <v>17</v>
      </c>
      <c r="B6" s="34" t="s">
        <v>17</v>
      </c>
    </row>
    <row r="7" ht="18" customHeight="1" spans="1:2">
      <c r="A7" s="34" t="s">
        <v>31</v>
      </c>
      <c r="B7" s="34" t="s">
        <v>17</v>
      </c>
    </row>
    <row r="8" ht="18" customHeight="1" spans="1:2">
      <c r="A8" s="34" t="s">
        <v>17</v>
      </c>
      <c r="B8" s="34" t="s">
        <v>17</v>
      </c>
    </row>
    <row r="9" ht="24" customHeight="1" spans="1:2">
      <c r="A9" s="34" t="s">
        <v>32</v>
      </c>
      <c r="B9" s="34" t="s">
        <v>17</v>
      </c>
    </row>
    <row r="10" ht="18" customHeight="1" spans="1:2">
      <c r="A10" s="34" t="s">
        <v>17</v>
      </c>
      <c r="B10" s="34" t="s">
        <v>17</v>
      </c>
    </row>
    <row r="11" ht="18" customHeight="1" spans="1:2">
      <c r="A11" s="34" t="s">
        <v>33</v>
      </c>
      <c r="B11" s="34" t="s">
        <v>17</v>
      </c>
    </row>
    <row r="12" ht="18" customHeight="1" spans="1:2">
      <c r="A12" s="34" t="s">
        <v>17</v>
      </c>
      <c r="B12" s="34" t="s">
        <v>17</v>
      </c>
    </row>
    <row r="13" ht="18" customHeight="1" spans="1:2">
      <c r="A13" s="34" t="s">
        <v>34</v>
      </c>
      <c r="B13" s="34" t="s">
        <v>17</v>
      </c>
    </row>
    <row r="14" ht="18" customHeight="1" spans="1:2">
      <c r="A14" s="34" t="s">
        <v>17</v>
      </c>
      <c r="B14" s="34" t="s">
        <v>17</v>
      </c>
    </row>
    <row r="15" ht="18" customHeight="1" spans="1:2">
      <c r="A15" s="34" t="s">
        <v>35</v>
      </c>
      <c r="B15" s="34" t="s">
        <v>17</v>
      </c>
    </row>
    <row r="16" ht="18" customHeight="1" spans="1:2">
      <c r="A16" s="34" t="s">
        <v>17</v>
      </c>
      <c r="B16" s="34" t="s">
        <v>17</v>
      </c>
    </row>
    <row r="17" ht="18" customHeight="1" spans="1:2">
      <c r="A17" s="34" t="s">
        <v>36</v>
      </c>
      <c r="B17" s="34" t="s">
        <v>17</v>
      </c>
    </row>
    <row r="18" ht="18" customHeight="1" spans="1:2">
      <c r="A18" s="34" t="s">
        <v>17</v>
      </c>
      <c r="B18" s="34" t="s">
        <v>17</v>
      </c>
    </row>
    <row r="19" ht="18" customHeight="1" spans="1:2">
      <c r="A19" s="34" t="s">
        <v>37</v>
      </c>
      <c r="B19" s="34"/>
    </row>
    <row r="20" ht="18" customHeight="1" spans="1:2">
      <c r="A20" s="34"/>
      <c r="B20" s="34"/>
    </row>
    <row r="21" ht="18" customHeight="1" spans="1:2">
      <c r="A21" s="34" t="s">
        <v>38</v>
      </c>
      <c r="B21" s="34" t="s">
        <v>17</v>
      </c>
    </row>
    <row r="22" ht="18" customHeight="1" spans="1:2">
      <c r="A22" s="34" t="s">
        <v>17</v>
      </c>
      <c r="B22" s="34" t="s">
        <v>17</v>
      </c>
    </row>
    <row r="23" ht="18" customHeight="1" spans="1:2">
      <c r="A23" s="34" t="s">
        <v>39</v>
      </c>
      <c r="B23" s="34" t="s">
        <v>17</v>
      </c>
    </row>
    <row r="24" ht="18" customHeight="1" spans="1:2">
      <c r="A24" s="34" t="s">
        <v>17</v>
      </c>
      <c r="B24" s="34" t="s">
        <v>17</v>
      </c>
    </row>
    <row r="25" ht="24" customHeight="1" spans="1:2">
      <c r="A25" s="34" t="s">
        <v>40</v>
      </c>
      <c r="B25" s="34" t="s">
        <v>17</v>
      </c>
    </row>
    <row r="26" ht="18" customHeight="1" spans="1:2">
      <c r="A26" s="34" t="s">
        <v>17</v>
      </c>
      <c r="B26" s="34" t="s">
        <v>17</v>
      </c>
    </row>
    <row r="27" ht="18" customHeight="1" spans="1:2">
      <c r="A27" s="34" t="s">
        <v>41</v>
      </c>
      <c r="B27" s="34" t="s">
        <v>17</v>
      </c>
    </row>
    <row r="28" ht="18" customHeight="1" spans="1:2">
      <c r="A28" s="34" t="s">
        <v>17</v>
      </c>
      <c r="B28" s="34" t="s">
        <v>17</v>
      </c>
    </row>
    <row r="29" ht="18" customHeight="1" spans="1:2">
      <c r="A29" s="34" t="s">
        <v>42</v>
      </c>
      <c r="B29" s="34" t="s">
        <v>17</v>
      </c>
    </row>
    <row r="30" ht="18" customHeight="1" spans="1:2">
      <c r="A30" s="34" t="s">
        <v>17</v>
      </c>
      <c r="B30" s="34" t="s">
        <v>17</v>
      </c>
    </row>
    <row r="31" ht="18" customHeight="1" spans="1:2">
      <c r="A31" s="34" t="s">
        <v>43</v>
      </c>
      <c r="B31" s="34" t="s">
        <v>17</v>
      </c>
    </row>
    <row r="32" ht="18" customHeight="1" spans="1:2">
      <c r="A32" s="34" t="s">
        <v>17</v>
      </c>
      <c r="B32" s="34" t="s">
        <v>17</v>
      </c>
    </row>
    <row r="33" ht="18" customHeight="1" spans="1:2">
      <c r="A33" s="34" t="s">
        <v>17</v>
      </c>
      <c r="B33" s="34" t="s">
        <v>17</v>
      </c>
    </row>
    <row r="34" ht="18" customHeight="1" spans="1:2">
      <c r="A34" s="34" t="s">
        <v>17</v>
      </c>
      <c r="B34" s="34" t="s">
        <v>17</v>
      </c>
    </row>
    <row r="35" ht="18" customHeight="1" spans="1:2">
      <c r="A35" s="34" t="s">
        <v>17</v>
      </c>
      <c r="B35" s="34" t="s">
        <v>17</v>
      </c>
    </row>
    <row r="36" ht="18" customHeight="1" spans="1:2">
      <c r="A36" s="34" t="s">
        <v>17</v>
      </c>
      <c r="B36" s="34" t="s">
        <v>17</v>
      </c>
    </row>
    <row r="37" ht="18" customHeight="1" spans="1:2">
      <c r="A37" s="35" t="s">
        <v>44</v>
      </c>
      <c r="B37" s="35" t="s">
        <v>17</v>
      </c>
    </row>
  </sheetData>
  <mergeCells count="35">
    <mergeCell ref="A1:B1"/>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s>
  <pageMargins left="0.590541666666667" right="0" top="0.590541666666667" bottom="0"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37"/>
  <sheetViews>
    <sheetView zoomScaleSheetLayoutView="60" workbookViewId="0">
      <selection activeCell="A1" sqref="A1"/>
    </sheetView>
  </sheetViews>
  <sheetFormatPr defaultColWidth="11" defaultRowHeight="18.75" customHeight="1" outlineLevelCol="4"/>
  <cols>
    <col min="1" max="1" width="10.125" style="1"/>
    <col min="2" max="2" width="18.75" style="1"/>
    <col min="3" max="3" width="7.875" style="1"/>
    <col min="4" max="4" width="22.5" style="1"/>
    <col min="5" max="5" width="15" style="1"/>
    <col min="6" max="16384" width="11" style="1"/>
  </cols>
  <sheetData>
    <row r="1" ht="7.5" customHeight="1" spans="1:5">
      <c r="A1" s="21"/>
      <c r="B1" s="21"/>
      <c r="C1" s="21"/>
      <c r="D1" s="21"/>
      <c r="E1" s="21"/>
    </row>
    <row r="2" ht="26.25" customHeight="1" spans="1:5">
      <c r="A2" s="22" t="s">
        <v>45</v>
      </c>
      <c r="B2" s="22"/>
      <c r="C2" s="22"/>
      <c r="D2" s="22"/>
      <c r="E2" s="22"/>
    </row>
    <row r="3" customHeight="1" spans="1:5">
      <c r="A3" s="23" t="s">
        <v>46</v>
      </c>
      <c r="B3" s="21"/>
      <c r="C3" s="21"/>
      <c r="D3" s="21"/>
      <c r="E3" s="21"/>
    </row>
    <row r="4" customHeight="1" spans="1:5">
      <c r="A4" s="23" t="s">
        <v>47</v>
      </c>
      <c r="B4" s="24" t="s">
        <v>0</v>
      </c>
      <c r="C4" s="24"/>
      <c r="D4" s="24"/>
      <c r="E4" s="25" t="s">
        <v>28</v>
      </c>
    </row>
    <row r="5" customHeight="1" spans="1:5">
      <c r="A5" s="26" t="s">
        <v>48</v>
      </c>
      <c r="B5" s="26" t="s">
        <v>49</v>
      </c>
      <c r="C5" s="26"/>
      <c r="D5" s="26"/>
      <c r="E5" s="26" t="s">
        <v>50</v>
      </c>
    </row>
    <row r="6" customHeight="1" spans="1:5">
      <c r="A6" s="26" t="s">
        <v>51</v>
      </c>
      <c r="B6" s="27" t="s">
        <v>52</v>
      </c>
      <c r="C6" s="27"/>
      <c r="D6" s="27"/>
      <c r="E6" s="28">
        <f>'分类分项工程量清单(建筑)'!H6</f>
        <v>1289621.31</v>
      </c>
    </row>
    <row r="7" customHeight="1" spans="1:5">
      <c r="A7" s="26" t="s">
        <v>53</v>
      </c>
      <c r="B7" s="27" t="s">
        <v>54</v>
      </c>
      <c r="C7" s="27"/>
      <c r="D7" s="27"/>
      <c r="E7" s="28">
        <f>'分类分项工程量清单(临时)'!H6</f>
        <v>20000</v>
      </c>
    </row>
    <row r="8" customHeight="1" spans="1:5">
      <c r="A8" s="26" t="s">
        <v>55</v>
      </c>
      <c r="B8" s="27" t="s">
        <v>56</v>
      </c>
      <c r="C8" s="27"/>
      <c r="D8" s="27"/>
      <c r="E8" s="28">
        <f>'分类分项工程量清单(临时)'!H8</f>
        <v>21434.55</v>
      </c>
    </row>
    <row r="9" customHeight="1" spans="1:5">
      <c r="A9" s="26" t="s">
        <v>57</v>
      </c>
      <c r="B9" s="27" t="s">
        <v>58</v>
      </c>
      <c r="C9" s="27"/>
      <c r="D9" s="27"/>
      <c r="E9" s="28">
        <f>措施项目清单!E6</f>
        <v>19965.84</v>
      </c>
    </row>
    <row r="10" customHeight="1" spans="1:5">
      <c r="A10" s="26" t="s">
        <v>59</v>
      </c>
      <c r="B10" s="27" t="s">
        <v>60</v>
      </c>
      <c r="C10" s="27"/>
      <c r="D10" s="27"/>
      <c r="E10" s="28">
        <f>其他项目清单!E6</f>
        <v>3993.17</v>
      </c>
    </row>
    <row r="11" customHeight="1" spans="1:5">
      <c r="A11" s="26"/>
      <c r="B11" s="27" t="s">
        <v>61</v>
      </c>
      <c r="C11" s="27"/>
      <c r="D11" s="27"/>
      <c r="E11" s="28">
        <f>ROUND(SUM(E6:E10),2)</f>
        <v>1355014.87</v>
      </c>
    </row>
    <row r="12" customHeight="1" spans="1:5">
      <c r="A12" s="26"/>
      <c r="B12" s="27"/>
      <c r="C12" s="27"/>
      <c r="D12" s="27"/>
      <c r="E12" s="29"/>
    </row>
    <row r="13" customHeight="1" spans="1:5">
      <c r="A13" s="26"/>
      <c r="B13" s="27"/>
      <c r="C13" s="27"/>
      <c r="D13" s="27"/>
      <c r="E13" s="29"/>
    </row>
    <row r="14" customHeight="1" spans="1:5">
      <c r="A14" s="26"/>
      <c r="B14" s="27"/>
      <c r="C14" s="27"/>
      <c r="D14" s="27"/>
      <c r="E14" s="29"/>
    </row>
    <row r="15" customHeight="1" spans="1:5">
      <c r="A15" s="26"/>
      <c r="B15" s="27"/>
      <c r="C15" s="27"/>
      <c r="D15" s="27"/>
      <c r="E15" s="29"/>
    </row>
    <row r="16" customHeight="1" spans="1:5">
      <c r="A16" s="26"/>
      <c r="B16" s="27"/>
      <c r="C16" s="27"/>
      <c r="D16" s="27"/>
      <c r="E16" s="29"/>
    </row>
    <row r="17" customHeight="1" spans="1:5">
      <c r="A17" s="26"/>
      <c r="B17" s="27"/>
      <c r="C17" s="27"/>
      <c r="D17" s="27"/>
      <c r="E17" s="29"/>
    </row>
    <row r="18" customHeight="1" spans="1:5">
      <c r="A18" s="26"/>
      <c r="B18" s="27"/>
      <c r="C18" s="27"/>
      <c r="D18" s="27"/>
      <c r="E18" s="29"/>
    </row>
    <row r="19" customHeight="1" spans="1:5">
      <c r="A19" s="26"/>
      <c r="B19" s="27"/>
      <c r="C19" s="27"/>
      <c r="D19" s="27"/>
      <c r="E19" s="29"/>
    </row>
    <row r="20" customHeight="1" spans="1:5">
      <c r="A20" s="26"/>
      <c r="B20" s="27"/>
      <c r="C20" s="27"/>
      <c r="D20" s="27"/>
      <c r="E20" s="29"/>
    </row>
    <row r="21" customHeight="1" spans="1:5">
      <c r="A21" s="26"/>
      <c r="B21" s="27"/>
      <c r="C21" s="27"/>
      <c r="D21" s="27"/>
      <c r="E21" s="29"/>
    </row>
    <row r="22" customHeight="1" spans="1:5">
      <c r="A22" s="26"/>
      <c r="B22" s="27"/>
      <c r="C22" s="27"/>
      <c r="D22" s="27"/>
      <c r="E22" s="29"/>
    </row>
    <row r="23" customHeight="1" spans="1:5">
      <c r="A23" s="26"/>
      <c r="B23" s="27"/>
      <c r="C23" s="27"/>
      <c r="D23" s="27"/>
      <c r="E23" s="29"/>
    </row>
    <row r="24" customHeight="1" spans="1:5">
      <c r="A24" s="26"/>
      <c r="B24" s="27"/>
      <c r="C24" s="27"/>
      <c r="D24" s="27"/>
      <c r="E24" s="29"/>
    </row>
    <row r="25" customHeight="1" spans="1:5">
      <c r="A25" s="26"/>
      <c r="B25" s="27"/>
      <c r="C25" s="27"/>
      <c r="D25" s="27"/>
      <c r="E25" s="29"/>
    </row>
    <row r="26" customHeight="1" spans="1:5">
      <c r="A26" s="26"/>
      <c r="B26" s="27"/>
      <c r="C26" s="27"/>
      <c r="D26" s="27"/>
      <c r="E26" s="29"/>
    </row>
    <row r="27" customHeight="1" spans="1:5">
      <c r="A27" s="26"/>
      <c r="B27" s="27"/>
      <c r="C27" s="27"/>
      <c r="D27" s="27"/>
      <c r="E27" s="29"/>
    </row>
    <row r="28" customHeight="1" spans="1:5">
      <c r="A28" s="26"/>
      <c r="B28" s="27"/>
      <c r="C28" s="27"/>
      <c r="D28" s="27"/>
      <c r="E28" s="29"/>
    </row>
    <row r="29" customHeight="1" spans="1:5">
      <c r="A29" s="26"/>
      <c r="B29" s="27"/>
      <c r="C29" s="27"/>
      <c r="D29" s="27"/>
      <c r="E29" s="29"/>
    </row>
    <row r="30" customHeight="1" spans="1:5">
      <c r="A30" s="26"/>
      <c r="B30" s="27"/>
      <c r="C30" s="27"/>
      <c r="D30" s="27"/>
      <c r="E30" s="29"/>
    </row>
    <row r="31" customHeight="1" spans="1:5">
      <c r="A31" s="26"/>
      <c r="B31" s="27"/>
      <c r="C31" s="27"/>
      <c r="D31" s="27"/>
      <c r="E31" s="29"/>
    </row>
    <row r="32" customHeight="1" spans="1:5">
      <c r="A32" s="26"/>
      <c r="B32" s="27"/>
      <c r="C32" s="27"/>
      <c r="D32" s="27"/>
      <c r="E32" s="29"/>
    </row>
    <row r="33" customHeight="1" spans="1:5">
      <c r="A33" s="26"/>
      <c r="B33" s="27"/>
      <c r="C33" s="27"/>
      <c r="D33" s="27"/>
      <c r="E33" s="29"/>
    </row>
    <row r="34" customHeight="1" spans="1:5">
      <c r="A34" s="26"/>
      <c r="B34" s="27"/>
      <c r="C34" s="27"/>
      <c r="D34" s="27"/>
      <c r="E34" s="29"/>
    </row>
    <row r="35" customHeight="1" spans="1:5">
      <c r="A35" s="26"/>
      <c r="B35" s="27"/>
      <c r="C35" s="27"/>
      <c r="D35" s="27"/>
      <c r="E35" s="29"/>
    </row>
    <row r="36" customHeight="1" spans="1:5">
      <c r="A36" s="26"/>
      <c r="B36" s="27"/>
      <c r="C36" s="27"/>
      <c r="D36" s="27"/>
      <c r="E36" s="29"/>
    </row>
    <row r="37" customHeight="1" spans="1:5">
      <c r="A37" s="26"/>
      <c r="B37" s="27"/>
      <c r="C37" s="27"/>
      <c r="D37" s="27"/>
      <c r="E37" s="29"/>
    </row>
  </sheetData>
  <mergeCells count="36">
    <mergeCell ref="A2:E2"/>
    <mergeCell ref="B3:E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s>
  <pageMargins left="0.90551" right="0" top="0.70866" bottom="0" header="0.55118" footer="0.3937"/>
  <headerFooter alignWithMargins="0" scaleWithDoc="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3"/>
  <sheetViews>
    <sheetView zoomScaleSheetLayoutView="60" workbookViewId="0">
      <selection activeCell="A1" sqref="A1"/>
    </sheetView>
  </sheetViews>
  <sheetFormatPr defaultColWidth="11" defaultRowHeight="18.75" customHeight="1"/>
  <cols>
    <col min="1" max="1" width="8.75" style="1" customWidth="1"/>
    <col min="2" max="2" width="11.25" style="1" customWidth="1"/>
    <col min="3" max="3" width="14.625" style="1" customWidth="1"/>
    <col min="4" max="4" width="4.25" style="1" customWidth="1"/>
    <col min="5" max="5" width="4.375" style="1" customWidth="1"/>
    <col min="6" max="6" width="6.875" style="1" customWidth="1"/>
    <col min="7" max="7" width="8.125" style="1" customWidth="1"/>
    <col min="8" max="8" width="9.375" style="1" customWidth="1"/>
    <col min="9" max="9" width="6.625" style="1" customWidth="1"/>
    <col min="10" max="10" width="6.25" style="1" customWidth="1"/>
    <col min="11" max="11" width="9.625" style="1" customWidth="1"/>
    <col min="12" max="16384" width="11" style="1"/>
  </cols>
  <sheetData>
    <row r="1" ht="7.5" customHeight="1" spans="1:10">
      <c r="A1" s="3"/>
      <c r="B1" s="3"/>
      <c r="C1" s="3"/>
      <c r="D1" s="3"/>
      <c r="E1" s="3"/>
      <c r="F1" s="3"/>
      <c r="G1" s="3"/>
      <c r="H1" s="3"/>
      <c r="I1" s="3"/>
      <c r="J1" s="3"/>
    </row>
    <row r="2" ht="26.25" customHeight="1" spans="1:10">
      <c r="A2" s="2" t="s">
        <v>62</v>
      </c>
      <c r="B2" s="2"/>
      <c r="C2" s="2"/>
      <c r="D2" s="2"/>
      <c r="E2" s="2"/>
      <c r="F2" s="2"/>
      <c r="G2" s="2"/>
      <c r="H2" s="2"/>
      <c r="I2" s="2"/>
      <c r="J2" s="2"/>
    </row>
    <row r="3" customHeight="1" spans="1:10">
      <c r="A3" s="8" t="s">
        <v>46</v>
      </c>
      <c r="B3" s="3"/>
      <c r="C3" s="3"/>
      <c r="D3" s="3"/>
      <c r="E3" s="3"/>
      <c r="F3" s="3"/>
      <c r="G3" s="3"/>
      <c r="H3" s="3"/>
      <c r="I3" s="3"/>
      <c r="J3" s="3"/>
    </row>
    <row r="4" customHeight="1" spans="1:10">
      <c r="A4" s="8" t="s">
        <v>47</v>
      </c>
      <c r="B4" s="10" t="s">
        <v>0</v>
      </c>
      <c r="C4" s="10"/>
      <c r="D4" s="10"/>
      <c r="E4" s="10"/>
      <c r="F4" s="10"/>
      <c r="G4" s="10"/>
      <c r="H4" s="16" t="s">
        <v>63</v>
      </c>
      <c r="I4" s="16"/>
      <c r="J4" s="16"/>
    </row>
    <row r="5" ht="26.25" customHeight="1" spans="1:10">
      <c r="A5" s="6" t="s">
        <v>48</v>
      </c>
      <c r="B5" s="6" t="s">
        <v>64</v>
      </c>
      <c r="C5" s="6" t="s">
        <v>65</v>
      </c>
      <c r="D5" s="6"/>
      <c r="E5" s="6" t="s">
        <v>66</v>
      </c>
      <c r="F5" s="6" t="s">
        <v>67</v>
      </c>
      <c r="G5" s="6" t="s">
        <v>68</v>
      </c>
      <c r="H5" s="6" t="s">
        <v>69</v>
      </c>
      <c r="I5" s="17" t="s">
        <v>70</v>
      </c>
      <c r="J5" s="6" t="s">
        <v>71</v>
      </c>
    </row>
    <row r="6" customHeight="1" spans="1:10">
      <c r="A6" s="5" t="s">
        <v>51</v>
      </c>
      <c r="B6" s="6"/>
      <c r="C6" s="5" t="s">
        <v>52</v>
      </c>
      <c r="D6" s="5"/>
      <c r="E6" s="6"/>
      <c r="F6" s="7"/>
      <c r="G6" s="7"/>
      <c r="H6" s="15">
        <f>H7+H22</f>
        <v>1289621.31</v>
      </c>
      <c r="I6" s="6"/>
      <c r="J6" s="5"/>
    </row>
    <row r="7" ht="27.75" customHeight="1" spans="1:10">
      <c r="A7" s="5" t="s">
        <v>72</v>
      </c>
      <c r="B7" s="6"/>
      <c r="C7" s="5" t="s">
        <v>73</v>
      </c>
      <c r="D7" s="5"/>
      <c r="E7" s="6"/>
      <c r="F7" s="7"/>
      <c r="G7" s="7"/>
      <c r="H7" s="15">
        <f>H8+H9+H10+H11+H12+H13+H14+H15+H16+H17+H18+H19+H20+H21</f>
        <v>566485.94</v>
      </c>
      <c r="I7" s="6"/>
      <c r="J7" s="5"/>
    </row>
    <row r="8" ht="27.75" customHeight="1" spans="1:10">
      <c r="A8" s="5" t="s">
        <v>74</v>
      </c>
      <c r="B8" s="6" t="s">
        <v>75</v>
      </c>
      <c r="C8" s="5" t="s">
        <v>76</v>
      </c>
      <c r="D8" s="5"/>
      <c r="E8" s="6" t="s">
        <v>77</v>
      </c>
      <c r="F8" s="7" t="s">
        <v>78</v>
      </c>
      <c r="G8" s="15">
        <f>工程单价计算表!K26</f>
        <v>0.77</v>
      </c>
      <c r="H8" s="15">
        <f t="shared" ref="H8:H21" si="0">ROUND(F8*G8,2)</f>
        <v>133.43</v>
      </c>
      <c r="I8" s="6"/>
      <c r="J8" s="5"/>
    </row>
    <row r="9" ht="27.75" customHeight="1" spans="1:10">
      <c r="A9" s="5" t="s">
        <v>79</v>
      </c>
      <c r="B9" s="6" t="s">
        <v>80</v>
      </c>
      <c r="C9" s="5" t="s">
        <v>81</v>
      </c>
      <c r="D9" s="5"/>
      <c r="E9" s="6" t="s">
        <v>82</v>
      </c>
      <c r="F9" s="7" t="s">
        <v>83</v>
      </c>
      <c r="G9" s="15">
        <f>工程单价计算表!K540</f>
        <v>8.8</v>
      </c>
      <c r="H9" s="15">
        <f t="shared" si="0"/>
        <v>6957.37</v>
      </c>
      <c r="I9" s="6"/>
      <c r="J9" s="5"/>
    </row>
    <row r="10" ht="27.75" customHeight="1" spans="1:10">
      <c r="A10" s="5" t="s">
        <v>84</v>
      </c>
      <c r="B10" s="6" t="s">
        <v>85</v>
      </c>
      <c r="C10" s="5" t="s">
        <v>81</v>
      </c>
      <c r="D10" s="5"/>
      <c r="E10" s="6" t="s">
        <v>82</v>
      </c>
      <c r="F10" s="7" t="s">
        <v>86</v>
      </c>
      <c r="G10" s="15">
        <f>工程单价计算表!K540</f>
        <v>8.8</v>
      </c>
      <c r="H10" s="15">
        <f t="shared" si="0"/>
        <v>5214</v>
      </c>
      <c r="I10" s="6"/>
      <c r="J10" s="5"/>
    </row>
    <row r="11" ht="27.75" customHeight="1" spans="1:10">
      <c r="A11" s="5" t="s">
        <v>87</v>
      </c>
      <c r="B11" s="6" t="s">
        <v>88</v>
      </c>
      <c r="C11" s="5" t="s">
        <v>89</v>
      </c>
      <c r="D11" s="5"/>
      <c r="E11" s="6" t="s">
        <v>82</v>
      </c>
      <c r="F11" s="7" t="s">
        <v>90</v>
      </c>
      <c r="G11" s="15">
        <f>工程单价计算表!K582</f>
        <v>36.46</v>
      </c>
      <c r="H11" s="15">
        <f t="shared" si="0"/>
        <v>67591.37</v>
      </c>
      <c r="I11" s="6"/>
      <c r="J11" s="5"/>
    </row>
    <row r="12" ht="27.75" customHeight="1" spans="1:10">
      <c r="A12" s="5" t="s">
        <v>91</v>
      </c>
      <c r="B12" s="6" t="s">
        <v>92</v>
      </c>
      <c r="C12" s="5" t="s">
        <v>93</v>
      </c>
      <c r="D12" s="5"/>
      <c r="E12" s="6" t="s">
        <v>82</v>
      </c>
      <c r="F12" s="7" t="s">
        <v>94</v>
      </c>
      <c r="G12" s="15">
        <f>工程单价计算表!K63</f>
        <v>10.54</v>
      </c>
      <c r="H12" s="15">
        <f t="shared" si="0"/>
        <v>3343.6</v>
      </c>
      <c r="I12" s="6"/>
      <c r="J12" s="5"/>
    </row>
    <row r="13" ht="27.75" customHeight="1" spans="1:10">
      <c r="A13" s="5" t="s">
        <v>95</v>
      </c>
      <c r="B13" s="6" t="s">
        <v>96</v>
      </c>
      <c r="C13" s="5" t="s">
        <v>97</v>
      </c>
      <c r="D13" s="5"/>
      <c r="E13" s="6" t="s">
        <v>82</v>
      </c>
      <c r="F13" s="7" t="s">
        <v>98</v>
      </c>
      <c r="G13" s="15">
        <f>工程单价计算表!K173</f>
        <v>17.39</v>
      </c>
      <c r="H13" s="15">
        <f t="shared" si="0"/>
        <v>17472.08</v>
      </c>
      <c r="I13" s="6"/>
      <c r="J13" s="5"/>
    </row>
    <row r="14" customHeight="1" spans="1:10">
      <c r="A14" s="5" t="s">
        <v>99</v>
      </c>
      <c r="B14" s="6" t="s">
        <v>100</v>
      </c>
      <c r="C14" s="5" t="s">
        <v>101</v>
      </c>
      <c r="D14" s="5"/>
      <c r="E14" s="6" t="s">
        <v>82</v>
      </c>
      <c r="F14" s="7" t="s">
        <v>78</v>
      </c>
      <c r="G14" s="15">
        <f>工程单价计算表!K100</f>
        <v>4.51</v>
      </c>
      <c r="H14" s="15">
        <f t="shared" si="0"/>
        <v>781.49</v>
      </c>
      <c r="I14" s="6"/>
      <c r="J14" s="5"/>
    </row>
    <row r="15" ht="27.75" customHeight="1" spans="1:10">
      <c r="A15" s="5" t="s">
        <v>102</v>
      </c>
      <c r="B15" s="6" t="s">
        <v>103</v>
      </c>
      <c r="C15" s="5" t="s">
        <v>104</v>
      </c>
      <c r="D15" s="5"/>
      <c r="E15" s="6" t="s">
        <v>82</v>
      </c>
      <c r="F15" s="7" t="s">
        <v>105</v>
      </c>
      <c r="G15" s="15">
        <f>工程单价计算表!K272</f>
        <v>381.27</v>
      </c>
      <c r="H15" s="15">
        <f t="shared" si="0"/>
        <v>378448.6</v>
      </c>
      <c r="I15" s="6"/>
      <c r="J15" s="5"/>
    </row>
    <row r="16" ht="27.75" customHeight="1" spans="1:10">
      <c r="A16" s="5" t="s">
        <v>106</v>
      </c>
      <c r="B16" s="6" t="s">
        <v>107</v>
      </c>
      <c r="C16" s="5" t="s">
        <v>108</v>
      </c>
      <c r="D16" s="5"/>
      <c r="E16" s="6" t="s">
        <v>109</v>
      </c>
      <c r="F16" s="7" t="s">
        <v>110</v>
      </c>
      <c r="G16" s="15">
        <f>工程单价计算表!K503</f>
        <v>20.65</v>
      </c>
      <c r="H16" s="15">
        <f t="shared" si="0"/>
        <v>2461.48</v>
      </c>
      <c r="I16" s="6"/>
      <c r="J16" s="5"/>
    </row>
    <row r="17" customHeight="1" spans="1:10">
      <c r="A17" s="5" t="s">
        <v>111</v>
      </c>
      <c r="B17" s="6" t="s">
        <v>112</v>
      </c>
      <c r="C17" s="5" t="s">
        <v>113</v>
      </c>
      <c r="D17" s="5"/>
      <c r="E17" s="6" t="s">
        <v>82</v>
      </c>
      <c r="F17" s="7" t="s">
        <v>114</v>
      </c>
      <c r="G17" s="15">
        <f>工程单价计算表!K650</f>
        <v>160.04</v>
      </c>
      <c r="H17" s="15">
        <f t="shared" si="0"/>
        <v>436.91</v>
      </c>
      <c r="I17" s="6"/>
      <c r="J17" s="5"/>
    </row>
    <row r="18" customHeight="1" spans="1:10">
      <c r="A18" s="5" t="s">
        <v>115</v>
      </c>
      <c r="B18" s="6" t="s">
        <v>116</v>
      </c>
      <c r="C18" s="5" t="s">
        <v>117</v>
      </c>
      <c r="D18" s="5"/>
      <c r="E18" s="6" t="s">
        <v>77</v>
      </c>
      <c r="F18" s="7" t="s">
        <v>118</v>
      </c>
      <c r="G18" s="15">
        <f>工程单价计算表!K684</f>
        <v>7.93</v>
      </c>
      <c r="H18" s="15">
        <f t="shared" si="0"/>
        <v>432.5</v>
      </c>
      <c r="I18" s="6"/>
      <c r="J18" s="5"/>
    </row>
    <row r="19" customHeight="1" spans="1:10">
      <c r="A19" s="5" t="s">
        <v>119</v>
      </c>
      <c r="B19" s="6" t="s">
        <v>120</v>
      </c>
      <c r="C19" s="5" t="s">
        <v>121</v>
      </c>
      <c r="D19" s="5"/>
      <c r="E19" s="6" t="s">
        <v>82</v>
      </c>
      <c r="F19" s="7" t="s">
        <v>122</v>
      </c>
      <c r="G19" s="15">
        <f>工程单价计算表!K211</f>
        <v>111.31</v>
      </c>
      <c r="H19" s="15">
        <f t="shared" si="0"/>
        <v>12856.31</v>
      </c>
      <c r="I19" s="6"/>
      <c r="J19" s="5"/>
    </row>
    <row r="20" ht="27.75" customHeight="1" spans="1:10">
      <c r="A20" s="5" t="s">
        <v>123</v>
      </c>
      <c r="B20" s="6" t="s">
        <v>124</v>
      </c>
      <c r="C20" s="5" t="s">
        <v>125</v>
      </c>
      <c r="D20" s="5"/>
      <c r="E20" s="6" t="s">
        <v>77</v>
      </c>
      <c r="F20" s="7" t="s">
        <v>126</v>
      </c>
      <c r="G20" s="15">
        <f>工程单价计算表!K378</f>
        <v>55.34</v>
      </c>
      <c r="H20" s="15">
        <f t="shared" si="0"/>
        <v>58881.76</v>
      </c>
      <c r="I20" s="6"/>
      <c r="J20" s="5"/>
    </row>
    <row r="21" ht="27.75" customHeight="1" spans="1:10">
      <c r="A21" s="5" t="s">
        <v>127</v>
      </c>
      <c r="B21" s="6" t="s">
        <v>128</v>
      </c>
      <c r="C21" s="5" t="s">
        <v>129</v>
      </c>
      <c r="D21" s="5"/>
      <c r="E21" s="6" t="s">
        <v>77</v>
      </c>
      <c r="F21" s="7" t="s">
        <v>130</v>
      </c>
      <c r="G21" s="15">
        <f>工程单价计算表!K318</f>
        <v>125.52</v>
      </c>
      <c r="H21" s="15">
        <f t="shared" si="0"/>
        <v>11475.04</v>
      </c>
      <c r="I21" s="6"/>
      <c r="J21" s="5"/>
    </row>
    <row r="22" ht="27.75" customHeight="1" spans="1:10">
      <c r="A22" s="5" t="s">
        <v>131</v>
      </c>
      <c r="B22" s="6"/>
      <c r="C22" s="5" t="s">
        <v>132</v>
      </c>
      <c r="D22" s="5"/>
      <c r="E22" s="6"/>
      <c r="F22" s="7"/>
      <c r="G22" s="7"/>
      <c r="H22" s="15">
        <f>H23+H24+H25+H26+H27+H28+H34+H35+H36+H37+H38+H39+H40</f>
        <v>723135.37</v>
      </c>
      <c r="I22" s="6"/>
      <c r="J22" s="5"/>
    </row>
    <row r="23" ht="27.75" customHeight="1" spans="1:10">
      <c r="A23" s="5" t="s">
        <v>133</v>
      </c>
      <c r="B23" s="6" t="s">
        <v>134</v>
      </c>
      <c r="C23" s="5" t="s">
        <v>76</v>
      </c>
      <c r="D23" s="5"/>
      <c r="E23" s="6" t="s">
        <v>77</v>
      </c>
      <c r="F23" s="7" t="s">
        <v>135</v>
      </c>
      <c r="G23" s="15">
        <f>工程单价计算表!K26</f>
        <v>0.77</v>
      </c>
      <c r="H23" s="15">
        <f t="shared" ref="H23:H28" si="1">ROUND(F23*G23,2)</f>
        <v>175.24</v>
      </c>
      <c r="I23" s="6"/>
      <c r="J23" s="5"/>
    </row>
    <row r="24" ht="27.75" customHeight="1" spans="1:10">
      <c r="A24" s="5" t="s">
        <v>136</v>
      </c>
      <c r="B24" s="6" t="s">
        <v>137</v>
      </c>
      <c r="C24" s="5" t="s">
        <v>81</v>
      </c>
      <c r="D24" s="5"/>
      <c r="E24" s="6" t="s">
        <v>82</v>
      </c>
      <c r="F24" s="7" t="s">
        <v>138</v>
      </c>
      <c r="G24" s="15">
        <f>工程单价计算表!K540</f>
        <v>8.8</v>
      </c>
      <c r="H24" s="15">
        <f t="shared" si="1"/>
        <v>6327.11</v>
      </c>
      <c r="I24" s="6"/>
      <c r="J24" s="5"/>
    </row>
    <row r="25" ht="27.75" customHeight="1" spans="1:10">
      <c r="A25" s="5" t="s">
        <v>139</v>
      </c>
      <c r="B25" s="6" t="s">
        <v>140</v>
      </c>
      <c r="C25" s="5" t="s">
        <v>89</v>
      </c>
      <c r="D25" s="5"/>
      <c r="E25" s="6" t="s">
        <v>82</v>
      </c>
      <c r="F25" s="7" t="s">
        <v>141</v>
      </c>
      <c r="G25" s="15">
        <f>工程单价计算表!K582</f>
        <v>36.46</v>
      </c>
      <c r="H25" s="15">
        <f t="shared" si="1"/>
        <v>72968.13</v>
      </c>
      <c r="I25" s="6"/>
      <c r="J25" s="5"/>
    </row>
    <row r="26" ht="27.75" customHeight="1" spans="1:10">
      <c r="A26" s="5" t="s">
        <v>142</v>
      </c>
      <c r="B26" s="6" t="s">
        <v>143</v>
      </c>
      <c r="C26" s="5" t="s">
        <v>93</v>
      </c>
      <c r="D26" s="5"/>
      <c r="E26" s="6" t="s">
        <v>82</v>
      </c>
      <c r="F26" s="7" t="s">
        <v>144</v>
      </c>
      <c r="G26" s="15">
        <f>工程单价计算表!K63</f>
        <v>10.54</v>
      </c>
      <c r="H26" s="15">
        <f t="shared" si="1"/>
        <v>7349.33</v>
      </c>
      <c r="I26" s="6"/>
      <c r="J26" s="5"/>
    </row>
    <row r="27" ht="27.75" customHeight="1" spans="1:10">
      <c r="A27" s="5" t="s">
        <v>145</v>
      </c>
      <c r="B27" s="6" t="s">
        <v>146</v>
      </c>
      <c r="C27" s="5" t="s">
        <v>97</v>
      </c>
      <c r="D27" s="5"/>
      <c r="E27" s="6" t="s">
        <v>82</v>
      </c>
      <c r="F27" s="7" t="s">
        <v>147</v>
      </c>
      <c r="G27" s="15">
        <f>工程单价计算表!K173</f>
        <v>17.39</v>
      </c>
      <c r="H27" s="15">
        <f t="shared" si="1"/>
        <v>22998.1</v>
      </c>
      <c r="I27" s="6"/>
      <c r="J27" s="5"/>
    </row>
    <row r="28" customHeight="1" spans="1:10">
      <c r="A28" s="5" t="s">
        <v>148</v>
      </c>
      <c r="B28" s="6" t="s">
        <v>149</v>
      </c>
      <c r="C28" s="5" t="s">
        <v>101</v>
      </c>
      <c r="D28" s="5"/>
      <c r="E28" s="6" t="s">
        <v>82</v>
      </c>
      <c r="F28" s="7" t="s">
        <v>135</v>
      </c>
      <c r="G28" s="15">
        <f>工程单价计算表!K100</f>
        <v>4.51</v>
      </c>
      <c r="H28" s="15">
        <f t="shared" si="1"/>
        <v>1026.39</v>
      </c>
      <c r="I28" s="6"/>
      <c r="J28" s="5"/>
    </row>
    <row r="29" ht="7.5" customHeight="1" spans="1:10">
      <c r="A29" s="3"/>
      <c r="B29" s="3"/>
      <c r="C29" s="3"/>
      <c r="D29" s="3"/>
      <c r="E29" s="3"/>
      <c r="F29" s="3"/>
      <c r="G29" s="3"/>
      <c r="H29" s="3"/>
      <c r="I29" s="3"/>
      <c r="J29" s="3"/>
    </row>
    <row r="30" ht="26.25" customHeight="1" spans="1:10">
      <c r="A30" s="2" t="s">
        <v>62</v>
      </c>
      <c r="B30" s="2"/>
      <c r="C30" s="2"/>
      <c r="D30" s="2"/>
      <c r="E30" s="2"/>
      <c r="F30" s="2"/>
      <c r="G30" s="2"/>
      <c r="H30" s="2"/>
      <c r="I30" s="2"/>
      <c r="J30" s="2"/>
    </row>
    <row r="31" customHeight="1" spans="1:10">
      <c r="A31" s="8" t="s">
        <v>46</v>
      </c>
      <c r="B31" s="3"/>
      <c r="C31" s="3"/>
      <c r="D31" s="3"/>
      <c r="E31" s="3"/>
      <c r="F31" s="3"/>
      <c r="G31" s="3"/>
      <c r="H31" s="3"/>
      <c r="I31" s="3"/>
      <c r="J31" s="3"/>
    </row>
    <row r="32" customHeight="1" spans="1:10">
      <c r="A32" s="8" t="s">
        <v>47</v>
      </c>
      <c r="B32" s="10" t="s">
        <v>0</v>
      </c>
      <c r="C32" s="10"/>
      <c r="D32" s="10"/>
      <c r="E32" s="10"/>
      <c r="F32" s="10"/>
      <c r="G32" s="10"/>
      <c r="H32" s="16" t="s">
        <v>150</v>
      </c>
      <c r="I32" s="16"/>
      <c r="J32" s="16"/>
    </row>
    <row r="33" ht="26.25" customHeight="1" spans="1:10">
      <c r="A33" s="6" t="s">
        <v>48</v>
      </c>
      <c r="B33" s="6" t="s">
        <v>64</v>
      </c>
      <c r="C33" s="6" t="s">
        <v>65</v>
      </c>
      <c r="D33" s="6"/>
      <c r="E33" s="6" t="s">
        <v>66</v>
      </c>
      <c r="F33" s="6" t="s">
        <v>67</v>
      </c>
      <c r="G33" s="6" t="s">
        <v>68</v>
      </c>
      <c r="H33" s="6" t="s">
        <v>69</v>
      </c>
      <c r="I33" s="17" t="s">
        <v>70</v>
      </c>
      <c r="J33" s="6" t="s">
        <v>71</v>
      </c>
    </row>
    <row r="34" ht="27.75" customHeight="1" spans="1:10">
      <c r="A34" s="5" t="s">
        <v>151</v>
      </c>
      <c r="B34" s="6" t="s">
        <v>152</v>
      </c>
      <c r="C34" s="5" t="s">
        <v>104</v>
      </c>
      <c r="D34" s="5"/>
      <c r="E34" s="6" t="s">
        <v>82</v>
      </c>
      <c r="F34" s="7" t="s">
        <v>153</v>
      </c>
      <c r="G34" s="15">
        <f>工程单价计算表!K272</f>
        <v>381.27</v>
      </c>
      <c r="H34" s="15">
        <f t="shared" ref="H34:H40" si="2">ROUND(F34*G34,2)</f>
        <v>497938.62</v>
      </c>
      <c r="I34" s="6"/>
      <c r="J34" s="5"/>
    </row>
    <row r="35" ht="27.75" customHeight="1" spans="1:10">
      <c r="A35" s="5" t="s">
        <v>154</v>
      </c>
      <c r="B35" s="6" t="s">
        <v>155</v>
      </c>
      <c r="C35" s="5" t="s">
        <v>108</v>
      </c>
      <c r="D35" s="5"/>
      <c r="E35" s="6" t="s">
        <v>109</v>
      </c>
      <c r="F35" s="7" t="s">
        <v>156</v>
      </c>
      <c r="G35" s="15">
        <f>工程单价计算表!K503</f>
        <v>20.65</v>
      </c>
      <c r="H35" s="15">
        <f t="shared" si="2"/>
        <v>3239.99</v>
      </c>
      <c r="I35" s="6"/>
      <c r="J35" s="5"/>
    </row>
    <row r="36" customHeight="1" spans="1:10">
      <c r="A36" s="5" t="s">
        <v>157</v>
      </c>
      <c r="B36" s="6" t="s">
        <v>158</v>
      </c>
      <c r="C36" s="5" t="s">
        <v>113</v>
      </c>
      <c r="D36" s="5"/>
      <c r="E36" s="6" t="s">
        <v>82</v>
      </c>
      <c r="F36" s="7" t="s">
        <v>159</v>
      </c>
      <c r="G36" s="15">
        <f>工程单价计算表!K650</f>
        <v>160.04</v>
      </c>
      <c r="H36" s="15">
        <f t="shared" si="2"/>
        <v>574.54</v>
      </c>
      <c r="I36" s="6"/>
      <c r="J36" s="5"/>
    </row>
    <row r="37" customHeight="1" spans="1:10">
      <c r="A37" s="5" t="s">
        <v>160</v>
      </c>
      <c r="B37" s="6" t="s">
        <v>161</v>
      </c>
      <c r="C37" s="5" t="s">
        <v>117</v>
      </c>
      <c r="D37" s="5"/>
      <c r="E37" s="6" t="s">
        <v>77</v>
      </c>
      <c r="F37" s="7" t="s">
        <v>162</v>
      </c>
      <c r="G37" s="15">
        <f>工程单价计算表!K684</f>
        <v>7.93</v>
      </c>
      <c r="H37" s="15">
        <f t="shared" si="2"/>
        <v>569.53</v>
      </c>
      <c r="I37" s="6"/>
      <c r="J37" s="5"/>
    </row>
    <row r="38" customHeight="1" spans="1:10">
      <c r="A38" s="5" t="s">
        <v>163</v>
      </c>
      <c r="B38" s="6" t="s">
        <v>164</v>
      </c>
      <c r="C38" s="5" t="s">
        <v>121</v>
      </c>
      <c r="D38" s="5"/>
      <c r="E38" s="6" t="s">
        <v>82</v>
      </c>
      <c r="F38" s="7" t="s">
        <v>165</v>
      </c>
      <c r="G38" s="15">
        <f>工程单价计算表!K211</f>
        <v>111.31</v>
      </c>
      <c r="H38" s="15">
        <f t="shared" si="2"/>
        <v>16919.12</v>
      </c>
      <c r="I38" s="6"/>
      <c r="J38" s="5"/>
    </row>
    <row r="39" ht="27.75" customHeight="1" spans="1:10">
      <c r="A39" s="5" t="s">
        <v>166</v>
      </c>
      <c r="B39" s="6" t="s">
        <v>167</v>
      </c>
      <c r="C39" s="5" t="s">
        <v>125</v>
      </c>
      <c r="D39" s="5"/>
      <c r="E39" s="6" t="s">
        <v>77</v>
      </c>
      <c r="F39" s="7" t="s">
        <v>168</v>
      </c>
      <c r="G39" s="15">
        <f>工程单价计算表!K378</f>
        <v>55.34</v>
      </c>
      <c r="H39" s="15">
        <f t="shared" si="2"/>
        <v>77476</v>
      </c>
      <c r="I39" s="6"/>
      <c r="J39" s="5"/>
    </row>
    <row r="40" ht="27.75" customHeight="1" spans="1:10">
      <c r="A40" s="5" t="s">
        <v>169</v>
      </c>
      <c r="B40" s="6" t="s">
        <v>170</v>
      </c>
      <c r="C40" s="5" t="s">
        <v>129</v>
      </c>
      <c r="D40" s="5"/>
      <c r="E40" s="6" t="s">
        <v>77</v>
      </c>
      <c r="F40" s="7" t="s">
        <v>171</v>
      </c>
      <c r="G40" s="15">
        <f>工程单价计算表!K318</f>
        <v>125.52</v>
      </c>
      <c r="H40" s="15">
        <f t="shared" si="2"/>
        <v>15573.27</v>
      </c>
      <c r="I40" s="6"/>
      <c r="J40" s="5"/>
    </row>
    <row r="41" customHeight="1" spans="1:10">
      <c r="A41" s="5"/>
      <c r="B41" s="6"/>
      <c r="C41" s="5"/>
      <c r="D41" s="5"/>
      <c r="E41" s="6"/>
      <c r="F41" s="7"/>
      <c r="G41" s="7"/>
      <c r="H41" s="7"/>
      <c r="I41" s="6"/>
      <c r="J41" s="5"/>
    </row>
    <row r="42" customHeight="1" spans="1:10">
      <c r="A42" s="5"/>
      <c r="B42" s="6"/>
      <c r="C42" s="5"/>
      <c r="D42" s="5"/>
      <c r="E42" s="6"/>
      <c r="F42" s="7"/>
      <c r="G42" s="7"/>
      <c r="H42" s="7"/>
      <c r="I42" s="6"/>
      <c r="J42" s="5"/>
    </row>
    <row r="43" customHeight="1" spans="1:10">
      <c r="A43" s="5"/>
      <c r="B43" s="6"/>
      <c r="C43" s="5"/>
      <c r="D43" s="5"/>
      <c r="E43" s="6"/>
      <c r="F43" s="7"/>
      <c r="G43" s="7"/>
      <c r="H43" s="7"/>
      <c r="I43" s="6"/>
      <c r="J43" s="5"/>
    </row>
    <row r="44" customHeight="1" spans="1:10">
      <c r="A44" s="5"/>
      <c r="B44" s="6"/>
      <c r="C44" s="5"/>
      <c r="D44" s="5"/>
      <c r="E44" s="6"/>
      <c r="F44" s="7"/>
      <c r="G44" s="7"/>
      <c r="H44" s="7"/>
      <c r="I44" s="6"/>
      <c r="J44" s="5"/>
    </row>
    <row r="45" customHeight="1" spans="1:10">
      <c r="A45" s="5"/>
      <c r="B45" s="6"/>
      <c r="C45" s="5"/>
      <c r="D45" s="5"/>
      <c r="E45" s="6"/>
      <c r="F45" s="7"/>
      <c r="G45" s="7"/>
      <c r="H45" s="7"/>
      <c r="I45" s="6"/>
      <c r="J45" s="5"/>
    </row>
    <row r="46" customHeight="1" spans="1:10">
      <c r="A46" s="5"/>
      <c r="B46" s="6"/>
      <c r="C46" s="5"/>
      <c r="D46" s="5"/>
      <c r="E46" s="6"/>
      <c r="F46" s="7"/>
      <c r="G46" s="7"/>
      <c r="H46" s="7"/>
      <c r="I46" s="6"/>
      <c r="J46" s="5"/>
    </row>
    <row r="47" customHeight="1" spans="1:10">
      <c r="A47" s="5"/>
      <c r="B47" s="6"/>
      <c r="C47" s="5"/>
      <c r="D47" s="5"/>
      <c r="E47" s="6"/>
      <c r="F47" s="7"/>
      <c r="G47" s="7"/>
      <c r="H47" s="7"/>
      <c r="I47" s="6"/>
      <c r="J47" s="5"/>
    </row>
    <row r="48" customHeight="1" spans="1:10">
      <c r="A48" s="5"/>
      <c r="B48" s="6"/>
      <c r="C48" s="5"/>
      <c r="D48" s="5"/>
      <c r="E48" s="6"/>
      <c r="F48" s="7"/>
      <c r="G48" s="7"/>
      <c r="H48" s="7"/>
      <c r="I48" s="6"/>
      <c r="J48" s="5"/>
    </row>
    <row r="49" customHeight="1" spans="1:10">
      <c r="A49" s="5"/>
      <c r="B49" s="6"/>
      <c r="C49" s="5"/>
      <c r="D49" s="5"/>
      <c r="E49" s="6"/>
      <c r="F49" s="7"/>
      <c r="G49" s="7"/>
      <c r="H49" s="7"/>
      <c r="I49" s="6"/>
      <c r="J49" s="5"/>
    </row>
    <row r="50" customHeight="1" spans="1:10">
      <c r="A50" s="5"/>
      <c r="B50" s="6"/>
      <c r="C50" s="5"/>
      <c r="D50" s="5"/>
      <c r="E50" s="6"/>
      <c r="F50" s="7"/>
      <c r="G50" s="7"/>
      <c r="H50" s="7"/>
      <c r="I50" s="6"/>
      <c r="J50" s="5"/>
    </row>
    <row r="51" customHeight="1" spans="1:10">
      <c r="A51" s="5"/>
      <c r="B51" s="6"/>
      <c r="C51" s="5"/>
      <c r="D51" s="5"/>
      <c r="E51" s="6"/>
      <c r="F51" s="7"/>
      <c r="G51" s="7"/>
      <c r="H51" s="7"/>
      <c r="I51" s="6"/>
      <c r="J51" s="5"/>
    </row>
    <row r="52" customHeight="1" spans="1:10">
      <c r="A52" s="5"/>
      <c r="B52" s="6"/>
      <c r="C52" s="5"/>
      <c r="D52" s="5"/>
      <c r="E52" s="6"/>
      <c r="F52" s="7"/>
      <c r="G52" s="7"/>
      <c r="H52" s="7"/>
      <c r="I52" s="6"/>
      <c r="J52" s="5"/>
    </row>
    <row r="53" customHeight="1" spans="1:10">
      <c r="A53" s="5"/>
      <c r="B53" s="6"/>
      <c r="C53" s="5"/>
      <c r="D53" s="5"/>
      <c r="E53" s="6"/>
      <c r="F53" s="7"/>
      <c r="G53" s="7"/>
      <c r="H53" s="7"/>
      <c r="I53" s="6"/>
      <c r="J53" s="5"/>
    </row>
    <row r="54" customHeight="1" spans="1:10">
      <c r="A54" s="5"/>
      <c r="B54" s="6"/>
      <c r="C54" s="5"/>
      <c r="D54" s="5"/>
      <c r="E54" s="6"/>
      <c r="F54" s="7"/>
      <c r="G54" s="7"/>
      <c r="H54" s="7"/>
      <c r="I54" s="6"/>
      <c r="J54" s="5"/>
    </row>
    <row r="55" customHeight="1" spans="1:10">
      <c r="A55" s="5"/>
      <c r="B55" s="6"/>
      <c r="C55" s="5"/>
      <c r="D55" s="5"/>
      <c r="E55" s="6"/>
      <c r="F55" s="7"/>
      <c r="G55" s="7"/>
      <c r="H55" s="7"/>
      <c r="I55" s="6"/>
      <c r="J55" s="5"/>
    </row>
    <row r="56" customHeight="1" spans="1:10">
      <c r="A56" s="5"/>
      <c r="B56" s="6"/>
      <c r="C56" s="5"/>
      <c r="D56" s="5"/>
      <c r="E56" s="6"/>
      <c r="F56" s="7"/>
      <c r="G56" s="7"/>
      <c r="H56" s="7"/>
      <c r="I56" s="6"/>
      <c r="J56" s="5"/>
    </row>
    <row r="57" customHeight="1" spans="1:10">
      <c r="A57" s="5"/>
      <c r="B57" s="6"/>
      <c r="C57" s="5"/>
      <c r="D57" s="5"/>
      <c r="E57" s="6"/>
      <c r="F57" s="7"/>
      <c r="G57" s="7"/>
      <c r="H57" s="7"/>
      <c r="I57" s="6"/>
      <c r="J57" s="5"/>
    </row>
    <row r="58" customHeight="1" spans="1:10">
      <c r="A58" s="5"/>
      <c r="B58" s="6"/>
      <c r="C58" s="5"/>
      <c r="D58" s="5"/>
      <c r="E58" s="6"/>
      <c r="F58" s="7"/>
      <c r="G58" s="7"/>
      <c r="H58" s="7"/>
      <c r="I58" s="6"/>
      <c r="J58" s="5"/>
    </row>
    <row r="59" customHeight="1" spans="1:10">
      <c r="A59" s="5"/>
      <c r="B59" s="6"/>
      <c r="C59" s="5"/>
      <c r="D59" s="5"/>
      <c r="E59" s="6"/>
      <c r="F59" s="7"/>
      <c r="G59" s="7"/>
      <c r="H59" s="7"/>
      <c r="I59" s="6"/>
      <c r="J59" s="5"/>
    </row>
    <row r="60" customHeight="1" spans="1:10">
      <c r="A60" s="5"/>
      <c r="B60" s="6"/>
      <c r="C60" s="5"/>
      <c r="D60" s="5"/>
      <c r="E60" s="6"/>
      <c r="F60" s="7"/>
      <c r="G60" s="7"/>
      <c r="H60" s="7"/>
      <c r="I60" s="6"/>
      <c r="J60" s="5"/>
    </row>
    <row r="61" customHeight="1" spans="1:10">
      <c r="A61" s="5"/>
      <c r="B61" s="6"/>
      <c r="C61" s="5"/>
      <c r="D61" s="5"/>
      <c r="E61" s="6"/>
      <c r="F61" s="7"/>
      <c r="G61" s="7"/>
      <c r="H61" s="7"/>
      <c r="I61" s="6"/>
      <c r="J61" s="5"/>
    </row>
    <row r="62" customHeight="1" spans="1:10">
      <c r="A62" s="5"/>
      <c r="B62" s="6"/>
      <c r="C62" s="5"/>
      <c r="D62" s="5"/>
      <c r="E62" s="6"/>
      <c r="F62" s="7"/>
      <c r="G62" s="7"/>
      <c r="H62" s="7"/>
      <c r="I62" s="6"/>
      <c r="J62" s="5"/>
    </row>
    <row r="63" customHeight="1" spans="1:10">
      <c r="A63" s="5"/>
      <c r="B63" s="6"/>
      <c r="C63" s="5"/>
      <c r="D63" s="5"/>
      <c r="E63" s="6"/>
      <c r="F63" s="7"/>
      <c r="G63" s="7"/>
      <c r="H63" s="7"/>
      <c r="I63" s="6"/>
      <c r="J63" s="5"/>
    </row>
  </sheetData>
  <mergeCells count="63">
    <mergeCell ref="A2:J2"/>
    <mergeCell ref="B3:J3"/>
    <mergeCell ref="B4:G4"/>
    <mergeCell ref="H4:J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30:J30"/>
    <mergeCell ref="B31:J31"/>
    <mergeCell ref="B32:G32"/>
    <mergeCell ref="H32:J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s>
  <pageMargins left="0.90551" right="0" top="0.70866" bottom="0" header="0.55118" footer="0.3937"/>
  <pageSetup paperSize="9" firstPageNumber="2" pageOrder="overThenDown" orientation="portrait" useFirstPageNumber="1" horizontalDpi="300" verticalDpi="300"/>
  <headerFooter alignWithMargins="0" scaleWithDoc="0">
    <oddFooter>&amp;C&amp;P</oddFooter>
  </headerFooter>
  <rowBreaks count="1" manualBreakCount="1">
    <brk id="28" max="255"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M24"/>
  <sheetViews>
    <sheetView zoomScaleSheetLayoutView="60" workbookViewId="0">
      <selection activeCell="A1" sqref="A1"/>
    </sheetView>
  </sheetViews>
  <sheetFormatPr defaultColWidth="11" defaultRowHeight="18.75" customHeight="1"/>
  <cols>
    <col min="1" max="1" width="8.75" style="1" customWidth="1"/>
    <col min="2" max="2" width="11.25" style="1" customWidth="1"/>
    <col min="3" max="3" width="18.25" style="1" customWidth="1"/>
    <col min="4" max="4" width="10.875" style="1" customWidth="1"/>
    <col min="5" max="5" width="4.375" style="1" customWidth="1"/>
    <col min="6" max="6" width="6.875" style="1" customWidth="1"/>
    <col min="7" max="7" width="10" style="1" customWidth="1"/>
    <col min="8" max="8" width="8.75" style="1" customWidth="1"/>
    <col min="9" max="9" width="10" style="1" customWidth="1"/>
    <col min="10" max="10" width="8.75" style="1" customWidth="1"/>
    <col min="11" max="11" width="9.375" style="1" customWidth="1"/>
    <col min="12" max="12" width="7.25" style="1" customWidth="1"/>
    <col min="13" max="13" width="8.25" style="1" customWidth="1"/>
    <col min="14" max="14" width="9.625" style="1" customWidth="1"/>
    <col min="15" max="16384" width="11" style="1"/>
  </cols>
  <sheetData>
    <row r="1" ht="7.5" customHeight="1" spans="1:13">
      <c r="A1" s="3"/>
      <c r="B1" s="3"/>
      <c r="C1" s="3"/>
      <c r="D1" s="3"/>
      <c r="E1" s="3"/>
      <c r="F1" s="3"/>
      <c r="G1" s="3"/>
      <c r="H1" s="3"/>
      <c r="I1" s="3"/>
      <c r="J1" s="3"/>
      <c r="K1" s="3"/>
      <c r="L1" s="3"/>
      <c r="M1" s="3"/>
    </row>
    <row r="2" ht="26.25" customHeight="1" spans="1:13">
      <c r="A2" s="2" t="s">
        <v>62</v>
      </c>
      <c r="B2" s="2"/>
      <c r="C2" s="2"/>
      <c r="D2" s="2"/>
      <c r="E2" s="2"/>
      <c r="F2" s="2"/>
      <c r="G2" s="2"/>
      <c r="H2" s="2"/>
      <c r="I2" s="2"/>
      <c r="J2" s="2"/>
      <c r="K2" s="2"/>
      <c r="L2" s="2"/>
      <c r="M2" s="2"/>
    </row>
    <row r="3" customHeight="1" spans="1:13">
      <c r="A3" s="8" t="s">
        <v>46</v>
      </c>
      <c r="B3" s="3"/>
      <c r="C3" s="3"/>
      <c r="D3" s="3"/>
      <c r="E3" s="3"/>
      <c r="F3" s="3"/>
      <c r="G3" s="3"/>
      <c r="H3" s="3"/>
      <c r="I3" s="3"/>
      <c r="J3" s="3"/>
      <c r="K3" s="3"/>
      <c r="L3" s="3"/>
      <c r="M3" s="3"/>
    </row>
    <row r="4" customHeight="1" spans="1:13">
      <c r="A4" s="8" t="s">
        <v>47</v>
      </c>
      <c r="B4" s="10" t="s">
        <v>0</v>
      </c>
      <c r="C4" s="10"/>
      <c r="D4" s="10"/>
      <c r="E4" s="10"/>
      <c r="F4" s="10"/>
      <c r="G4" s="10"/>
      <c r="H4" s="10"/>
      <c r="I4" s="10"/>
      <c r="J4" s="10"/>
      <c r="K4" s="16" t="s">
        <v>172</v>
      </c>
      <c r="L4" s="16"/>
      <c r="M4" s="16"/>
    </row>
    <row r="5" ht="40.5" customHeight="1" spans="1:13">
      <c r="A5" s="6" t="s">
        <v>48</v>
      </c>
      <c r="B5" s="6" t="s">
        <v>64</v>
      </c>
      <c r="C5" s="6" t="s">
        <v>65</v>
      </c>
      <c r="D5" s="6"/>
      <c r="E5" s="6" t="s">
        <v>66</v>
      </c>
      <c r="F5" s="6" t="s">
        <v>67</v>
      </c>
      <c r="G5" s="17" t="s">
        <v>173</v>
      </c>
      <c r="H5" s="6" t="s">
        <v>174</v>
      </c>
      <c r="I5" s="17" t="s">
        <v>175</v>
      </c>
      <c r="J5" s="6" t="s">
        <v>176</v>
      </c>
      <c r="K5" s="6" t="s">
        <v>69</v>
      </c>
      <c r="L5" s="17" t="s">
        <v>70</v>
      </c>
      <c r="M5" s="6" t="s">
        <v>71</v>
      </c>
    </row>
    <row r="6" customHeight="1" spans="1:13">
      <c r="A6" s="5"/>
      <c r="B6" s="6"/>
      <c r="C6" s="5"/>
      <c r="D6" s="5"/>
      <c r="E6" s="6"/>
      <c r="F6" s="7"/>
      <c r="G6" s="7"/>
      <c r="H6" s="7"/>
      <c r="I6" s="7"/>
      <c r="J6" s="7"/>
      <c r="K6" s="7"/>
      <c r="L6" s="6"/>
      <c r="M6" s="5"/>
    </row>
    <row r="7" customHeight="1" spans="1:13">
      <c r="A7" s="5"/>
      <c r="B7" s="6"/>
      <c r="C7" s="5"/>
      <c r="D7" s="5"/>
      <c r="E7" s="6"/>
      <c r="F7" s="7"/>
      <c r="G7" s="7"/>
      <c r="H7" s="7"/>
      <c r="I7" s="7"/>
      <c r="J7" s="7"/>
      <c r="K7" s="7"/>
      <c r="L7" s="6"/>
      <c r="M7" s="5"/>
    </row>
    <row r="8" customHeight="1" spans="1:13">
      <c r="A8" s="5"/>
      <c r="B8" s="6"/>
      <c r="C8" s="5"/>
      <c r="D8" s="5"/>
      <c r="E8" s="6"/>
      <c r="F8" s="7"/>
      <c r="G8" s="7"/>
      <c r="H8" s="7"/>
      <c r="I8" s="7"/>
      <c r="J8" s="7"/>
      <c r="K8" s="7"/>
      <c r="L8" s="6"/>
      <c r="M8" s="5"/>
    </row>
    <row r="9" customHeight="1" spans="1:13">
      <c r="A9" s="5"/>
      <c r="B9" s="6"/>
      <c r="C9" s="5"/>
      <c r="D9" s="5"/>
      <c r="E9" s="6"/>
      <c r="F9" s="7"/>
      <c r="G9" s="7"/>
      <c r="H9" s="7"/>
      <c r="I9" s="7"/>
      <c r="J9" s="7"/>
      <c r="K9" s="7"/>
      <c r="L9" s="6"/>
      <c r="M9" s="5"/>
    </row>
    <row r="10" customHeight="1" spans="1:13">
      <c r="A10" s="5"/>
      <c r="B10" s="6"/>
      <c r="C10" s="5"/>
      <c r="D10" s="5"/>
      <c r="E10" s="6"/>
      <c r="F10" s="7"/>
      <c r="G10" s="7"/>
      <c r="H10" s="7"/>
      <c r="I10" s="7"/>
      <c r="J10" s="7"/>
      <c r="K10" s="7"/>
      <c r="L10" s="6"/>
      <c r="M10" s="5"/>
    </row>
    <row r="11" customHeight="1" spans="1:13">
      <c r="A11" s="5"/>
      <c r="B11" s="6"/>
      <c r="C11" s="5"/>
      <c r="D11" s="5"/>
      <c r="E11" s="6"/>
      <c r="F11" s="7"/>
      <c r="G11" s="7"/>
      <c r="H11" s="7"/>
      <c r="I11" s="7"/>
      <c r="J11" s="7"/>
      <c r="K11" s="7"/>
      <c r="L11" s="6"/>
      <c r="M11" s="5"/>
    </row>
    <row r="12" customHeight="1" spans="1:13">
      <c r="A12" s="5"/>
      <c r="B12" s="6"/>
      <c r="C12" s="5"/>
      <c r="D12" s="5"/>
      <c r="E12" s="6"/>
      <c r="F12" s="7"/>
      <c r="G12" s="7"/>
      <c r="H12" s="7"/>
      <c r="I12" s="7"/>
      <c r="J12" s="7"/>
      <c r="K12" s="7"/>
      <c r="L12" s="6"/>
      <c r="M12" s="5"/>
    </row>
    <row r="13" customHeight="1" spans="1:13">
      <c r="A13" s="5"/>
      <c r="B13" s="6"/>
      <c r="C13" s="5"/>
      <c r="D13" s="5"/>
      <c r="E13" s="6"/>
      <c r="F13" s="7"/>
      <c r="G13" s="7"/>
      <c r="H13" s="7"/>
      <c r="I13" s="7"/>
      <c r="J13" s="7"/>
      <c r="K13" s="7"/>
      <c r="L13" s="6"/>
      <c r="M13" s="5"/>
    </row>
    <row r="14" customHeight="1" spans="1:13">
      <c r="A14" s="5"/>
      <c r="B14" s="6"/>
      <c r="C14" s="5"/>
      <c r="D14" s="5"/>
      <c r="E14" s="6"/>
      <c r="F14" s="7"/>
      <c r="G14" s="7"/>
      <c r="H14" s="7"/>
      <c r="I14" s="7"/>
      <c r="J14" s="7"/>
      <c r="K14" s="7"/>
      <c r="L14" s="6"/>
      <c r="M14" s="5"/>
    </row>
    <row r="15" customHeight="1" spans="1:13">
      <c r="A15" s="5"/>
      <c r="B15" s="6"/>
      <c r="C15" s="5"/>
      <c r="D15" s="5"/>
      <c r="E15" s="6"/>
      <c r="F15" s="7"/>
      <c r="G15" s="7"/>
      <c r="H15" s="7"/>
      <c r="I15" s="7"/>
      <c r="J15" s="7"/>
      <c r="K15" s="7"/>
      <c r="L15" s="6"/>
      <c r="M15" s="5"/>
    </row>
    <row r="16" customHeight="1" spans="1:13">
      <c r="A16" s="5"/>
      <c r="B16" s="6"/>
      <c r="C16" s="5"/>
      <c r="D16" s="5"/>
      <c r="E16" s="6"/>
      <c r="F16" s="7"/>
      <c r="G16" s="7"/>
      <c r="H16" s="7"/>
      <c r="I16" s="7"/>
      <c r="J16" s="7"/>
      <c r="K16" s="7"/>
      <c r="L16" s="6"/>
      <c r="M16" s="5"/>
    </row>
    <row r="17" customHeight="1" spans="1:13">
      <c r="A17" s="5"/>
      <c r="B17" s="6"/>
      <c r="C17" s="5"/>
      <c r="D17" s="5"/>
      <c r="E17" s="6"/>
      <c r="F17" s="7"/>
      <c r="G17" s="7"/>
      <c r="H17" s="7"/>
      <c r="I17" s="7"/>
      <c r="J17" s="7"/>
      <c r="K17" s="7"/>
      <c r="L17" s="6"/>
      <c r="M17" s="5"/>
    </row>
    <row r="18" customHeight="1" spans="1:13">
      <c r="A18" s="5"/>
      <c r="B18" s="6"/>
      <c r="C18" s="5"/>
      <c r="D18" s="5"/>
      <c r="E18" s="6"/>
      <c r="F18" s="7"/>
      <c r="G18" s="7"/>
      <c r="H18" s="7"/>
      <c r="I18" s="7"/>
      <c r="J18" s="7"/>
      <c r="K18" s="7"/>
      <c r="L18" s="6"/>
      <c r="M18" s="5"/>
    </row>
    <row r="19" customHeight="1" spans="1:13">
      <c r="A19" s="5"/>
      <c r="B19" s="6"/>
      <c r="C19" s="5"/>
      <c r="D19" s="5"/>
      <c r="E19" s="6"/>
      <c r="F19" s="7"/>
      <c r="G19" s="7"/>
      <c r="H19" s="7"/>
      <c r="I19" s="7"/>
      <c r="J19" s="7"/>
      <c r="K19" s="7"/>
      <c r="L19" s="6"/>
      <c r="M19" s="5"/>
    </row>
    <row r="20" customHeight="1" spans="1:13">
      <c r="A20" s="5"/>
      <c r="B20" s="6"/>
      <c r="C20" s="5"/>
      <c r="D20" s="5"/>
      <c r="E20" s="6"/>
      <c r="F20" s="7"/>
      <c r="G20" s="7"/>
      <c r="H20" s="7"/>
      <c r="I20" s="7"/>
      <c r="J20" s="7"/>
      <c r="K20" s="7"/>
      <c r="L20" s="6"/>
      <c r="M20" s="5"/>
    </row>
    <row r="21" customHeight="1" spans="1:13">
      <c r="A21" s="5"/>
      <c r="B21" s="6"/>
      <c r="C21" s="5"/>
      <c r="D21" s="5"/>
      <c r="E21" s="6"/>
      <c r="F21" s="7"/>
      <c r="G21" s="7"/>
      <c r="H21" s="7"/>
      <c r="I21" s="7"/>
      <c r="J21" s="7"/>
      <c r="K21" s="7"/>
      <c r="L21" s="6"/>
      <c r="M21" s="5"/>
    </row>
    <row r="22" customHeight="1" spans="1:13">
      <c r="A22" s="5"/>
      <c r="B22" s="6"/>
      <c r="C22" s="5"/>
      <c r="D22" s="5"/>
      <c r="E22" s="6"/>
      <c r="F22" s="7"/>
      <c r="G22" s="7"/>
      <c r="H22" s="7"/>
      <c r="I22" s="7"/>
      <c r="J22" s="7"/>
      <c r="K22" s="7"/>
      <c r="L22" s="6"/>
      <c r="M22" s="5"/>
    </row>
    <row r="23" customHeight="1" spans="1:13">
      <c r="A23" s="5"/>
      <c r="B23" s="6"/>
      <c r="C23" s="5"/>
      <c r="D23" s="5"/>
      <c r="E23" s="6"/>
      <c r="F23" s="7"/>
      <c r="G23" s="7"/>
      <c r="H23" s="7"/>
      <c r="I23" s="7"/>
      <c r="J23" s="7"/>
      <c r="K23" s="7"/>
      <c r="L23" s="6"/>
      <c r="M23" s="5"/>
    </row>
    <row r="24" customHeight="1" spans="1:13">
      <c r="A24" s="5"/>
      <c r="B24" s="6"/>
      <c r="C24" s="5"/>
      <c r="D24" s="5"/>
      <c r="E24" s="6"/>
      <c r="F24" s="7"/>
      <c r="G24" s="7"/>
      <c r="H24" s="7"/>
      <c r="I24" s="7"/>
      <c r="J24" s="7"/>
      <c r="K24" s="7"/>
      <c r="L24" s="6"/>
      <c r="M24" s="5"/>
    </row>
  </sheetData>
  <mergeCells count="24">
    <mergeCell ref="A2:M2"/>
    <mergeCell ref="B3:M3"/>
    <mergeCell ref="B4:J4"/>
    <mergeCell ref="K4:M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s>
  <printOptions horizontalCentered="1"/>
  <pageMargins left="0" right="0" top="0.90551" bottom="0" header="0.55118" footer="0.3937"/>
  <pageSetup paperSize="9" firstPageNumber="4" pageOrder="overThenDown" orientation="landscape" useFirstPageNumber="1" horizontalDpi="300" verticalDpi="300"/>
  <headerFooter alignWithMargins="0" scaleWithDoc="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6"/>
  <sheetViews>
    <sheetView zoomScaleSheetLayoutView="60" workbookViewId="0">
      <selection activeCell="A1" sqref="A1"/>
    </sheetView>
  </sheetViews>
  <sheetFormatPr defaultColWidth="11" defaultRowHeight="18.75" customHeight="1"/>
  <cols>
    <col min="1" max="1" width="8.75" style="1" customWidth="1"/>
    <col min="2" max="2" width="11.25" style="1" customWidth="1"/>
    <col min="3" max="3" width="14.625" style="1" customWidth="1"/>
    <col min="4" max="4" width="4.25" style="1" customWidth="1"/>
    <col min="5" max="5" width="4.375" style="1" customWidth="1"/>
    <col min="6" max="6" width="6.875" style="1" customWidth="1"/>
    <col min="7" max="7" width="8.125" style="1" customWidth="1"/>
    <col min="8" max="8" width="9.375" style="1" customWidth="1"/>
    <col min="9" max="9" width="6.625" style="1" customWidth="1"/>
    <col min="10" max="10" width="6.25" style="1" customWidth="1"/>
    <col min="11" max="11" width="9.625" style="1" customWidth="1"/>
    <col min="12" max="16384" width="11" style="1"/>
  </cols>
  <sheetData>
    <row r="1" ht="7.5" customHeight="1" spans="1:10">
      <c r="A1" s="3"/>
      <c r="B1" s="3"/>
      <c r="C1" s="3"/>
      <c r="D1" s="3"/>
      <c r="E1" s="3"/>
      <c r="F1" s="3"/>
      <c r="G1" s="3"/>
      <c r="H1" s="3"/>
      <c r="I1" s="3"/>
      <c r="J1" s="3"/>
    </row>
    <row r="2" ht="26.25" customHeight="1" spans="1:10">
      <c r="A2" s="2" t="s">
        <v>62</v>
      </c>
      <c r="B2" s="2"/>
      <c r="C2" s="2"/>
      <c r="D2" s="2"/>
      <c r="E2" s="2"/>
      <c r="F2" s="2"/>
      <c r="G2" s="2"/>
      <c r="H2" s="2"/>
      <c r="I2" s="2"/>
      <c r="J2" s="2"/>
    </row>
    <row r="3" customHeight="1" spans="1:10">
      <c r="A3" s="8" t="s">
        <v>46</v>
      </c>
      <c r="B3" s="3"/>
      <c r="C3" s="3"/>
      <c r="D3" s="3"/>
      <c r="E3" s="3"/>
      <c r="F3" s="3"/>
      <c r="G3" s="3"/>
      <c r="H3" s="3"/>
      <c r="I3" s="3"/>
      <c r="J3" s="3"/>
    </row>
    <row r="4" customHeight="1" spans="1:10">
      <c r="A4" s="8" t="s">
        <v>47</v>
      </c>
      <c r="B4" s="10" t="s">
        <v>0</v>
      </c>
      <c r="C4" s="10"/>
      <c r="D4" s="10"/>
      <c r="E4" s="10"/>
      <c r="F4" s="10"/>
      <c r="G4" s="10"/>
      <c r="H4" s="16" t="s">
        <v>177</v>
      </c>
      <c r="I4" s="16"/>
      <c r="J4" s="16"/>
    </row>
    <row r="5" ht="26.25" customHeight="1" spans="1:10">
      <c r="A5" s="6" t="s">
        <v>48</v>
      </c>
      <c r="B5" s="6" t="s">
        <v>64</v>
      </c>
      <c r="C5" s="6" t="s">
        <v>65</v>
      </c>
      <c r="D5" s="6"/>
      <c r="E5" s="6" t="s">
        <v>66</v>
      </c>
      <c r="F5" s="6" t="s">
        <v>67</v>
      </c>
      <c r="G5" s="6" t="s">
        <v>68</v>
      </c>
      <c r="H5" s="6" t="s">
        <v>69</v>
      </c>
      <c r="I5" s="17" t="s">
        <v>70</v>
      </c>
      <c r="J5" s="6" t="s">
        <v>71</v>
      </c>
    </row>
    <row r="6" customHeight="1" spans="1:10">
      <c r="A6" s="5" t="s">
        <v>53</v>
      </c>
      <c r="B6" s="6"/>
      <c r="C6" s="5" t="s">
        <v>54</v>
      </c>
      <c r="D6" s="5"/>
      <c r="E6" s="6"/>
      <c r="F6" s="7"/>
      <c r="G6" s="7"/>
      <c r="H6" s="15">
        <f>H7</f>
        <v>20000</v>
      </c>
      <c r="I6" s="6"/>
      <c r="J6" s="5"/>
    </row>
    <row r="7" ht="27.75" customHeight="1" spans="1:10">
      <c r="A7" s="5" t="s">
        <v>178</v>
      </c>
      <c r="B7" s="6" t="s">
        <v>179</v>
      </c>
      <c r="C7" s="5" t="s">
        <v>180</v>
      </c>
      <c r="D7" s="5"/>
      <c r="E7" s="6" t="s">
        <v>181</v>
      </c>
      <c r="F7" s="7" t="s">
        <v>182</v>
      </c>
      <c r="G7" s="15">
        <v>50000</v>
      </c>
      <c r="H7" s="15">
        <f t="shared" ref="H7:H11" si="0">ROUND(F7*G7,2)</f>
        <v>20000</v>
      </c>
      <c r="I7" s="6"/>
      <c r="J7" s="5"/>
    </row>
    <row r="8" customHeight="1" spans="1:10">
      <c r="A8" s="5" t="s">
        <v>55</v>
      </c>
      <c r="B8" s="6"/>
      <c r="C8" s="5" t="s">
        <v>56</v>
      </c>
      <c r="D8" s="5"/>
      <c r="E8" s="6"/>
      <c r="F8" s="7"/>
      <c r="G8" s="7"/>
      <c r="H8" s="15">
        <f>H9+H10+H11</f>
        <v>21434.55</v>
      </c>
      <c r="I8" s="6"/>
      <c r="J8" s="5"/>
    </row>
    <row r="9" customHeight="1" spans="1:10">
      <c r="A9" s="5" t="s">
        <v>183</v>
      </c>
      <c r="B9" s="6" t="s">
        <v>184</v>
      </c>
      <c r="C9" s="5" t="s">
        <v>185</v>
      </c>
      <c r="D9" s="5"/>
      <c r="E9" s="6" t="s">
        <v>82</v>
      </c>
      <c r="F9" s="7" t="s">
        <v>86</v>
      </c>
      <c r="G9" s="15">
        <f>工程单价计算表!K433</f>
        <v>6.16</v>
      </c>
      <c r="H9" s="15">
        <f t="shared" si="0"/>
        <v>3649.8</v>
      </c>
      <c r="I9" s="6"/>
      <c r="J9" s="5"/>
    </row>
    <row r="10" customHeight="1" spans="1:10">
      <c r="A10" s="5" t="s">
        <v>186</v>
      </c>
      <c r="B10" s="6" t="s">
        <v>187</v>
      </c>
      <c r="C10" s="5" t="s">
        <v>188</v>
      </c>
      <c r="D10" s="5"/>
      <c r="E10" s="6" t="s">
        <v>82</v>
      </c>
      <c r="F10" s="7" t="s">
        <v>86</v>
      </c>
      <c r="G10" s="15">
        <f>工程单价计算表!K139</f>
        <v>27.66</v>
      </c>
      <c r="H10" s="15">
        <f t="shared" si="0"/>
        <v>16388.55</v>
      </c>
      <c r="I10" s="6"/>
      <c r="J10" s="5"/>
    </row>
    <row r="11" ht="27.75" customHeight="1" spans="1:10">
      <c r="A11" s="5" t="s">
        <v>189</v>
      </c>
      <c r="B11" s="6" t="s">
        <v>190</v>
      </c>
      <c r="C11" s="5" t="s">
        <v>191</v>
      </c>
      <c r="D11" s="5"/>
      <c r="E11" s="6" t="s">
        <v>77</v>
      </c>
      <c r="F11" s="7" t="s">
        <v>192</v>
      </c>
      <c r="G11" s="15">
        <f>工程单价计算表!K463</f>
        <v>3.9</v>
      </c>
      <c r="H11" s="15">
        <f t="shared" si="0"/>
        <v>1396.2</v>
      </c>
      <c r="I11" s="6"/>
      <c r="J11" s="5"/>
    </row>
    <row r="12" customHeight="1" spans="1:10">
      <c r="A12" s="5"/>
      <c r="B12" s="6"/>
      <c r="C12" s="5"/>
      <c r="D12" s="5"/>
      <c r="E12" s="6"/>
      <c r="F12" s="7"/>
      <c r="G12" s="7"/>
      <c r="H12" s="7"/>
      <c r="I12" s="6"/>
      <c r="J12" s="5"/>
    </row>
    <row r="13" customHeight="1" spans="1:10">
      <c r="A13" s="5"/>
      <c r="B13" s="6"/>
      <c r="C13" s="5"/>
      <c r="D13" s="5"/>
      <c r="E13" s="6"/>
      <c r="F13" s="7"/>
      <c r="G13" s="7"/>
      <c r="H13" s="7"/>
      <c r="I13" s="6"/>
      <c r="J13" s="5"/>
    </row>
    <row r="14" customHeight="1" spans="1:10">
      <c r="A14" s="5"/>
      <c r="B14" s="6"/>
      <c r="C14" s="5"/>
      <c r="D14" s="5"/>
      <c r="E14" s="6"/>
      <c r="F14" s="7"/>
      <c r="G14" s="7"/>
      <c r="H14" s="7"/>
      <c r="I14" s="6"/>
      <c r="J14" s="5"/>
    </row>
    <row r="15" customHeight="1" spans="1:10">
      <c r="A15" s="5"/>
      <c r="B15" s="6"/>
      <c r="C15" s="5"/>
      <c r="D15" s="5"/>
      <c r="E15" s="6"/>
      <c r="F15" s="7"/>
      <c r="G15" s="7"/>
      <c r="H15" s="7"/>
      <c r="I15" s="6"/>
      <c r="J15" s="5"/>
    </row>
    <row r="16" customHeight="1" spans="1:10">
      <c r="A16" s="5"/>
      <c r="B16" s="6"/>
      <c r="C16" s="5"/>
      <c r="D16" s="5"/>
      <c r="E16" s="6"/>
      <c r="F16" s="7"/>
      <c r="G16" s="7"/>
      <c r="H16" s="7"/>
      <c r="I16" s="6"/>
      <c r="J16" s="5"/>
    </row>
    <row r="17" customHeight="1" spans="1:10">
      <c r="A17" s="5"/>
      <c r="B17" s="6"/>
      <c r="C17" s="5"/>
      <c r="D17" s="5"/>
      <c r="E17" s="6"/>
      <c r="F17" s="7"/>
      <c r="G17" s="7"/>
      <c r="H17" s="7"/>
      <c r="I17" s="6"/>
      <c r="J17" s="5"/>
    </row>
    <row r="18" customHeight="1" spans="1:10">
      <c r="A18" s="5"/>
      <c r="B18" s="6"/>
      <c r="C18" s="5"/>
      <c r="D18" s="5"/>
      <c r="E18" s="6"/>
      <c r="F18" s="7"/>
      <c r="G18" s="7"/>
      <c r="H18" s="7"/>
      <c r="I18" s="6"/>
      <c r="J18" s="5"/>
    </row>
    <row r="19" customHeight="1" spans="1:10">
      <c r="A19" s="5"/>
      <c r="B19" s="6"/>
      <c r="C19" s="5"/>
      <c r="D19" s="5"/>
      <c r="E19" s="6"/>
      <c r="F19" s="7"/>
      <c r="G19" s="7"/>
      <c r="H19" s="7"/>
      <c r="I19" s="6"/>
      <c r="J19" s="5"/>
    </row>
    <row r="20" customHeight="1" spans="1:10">
      <c r="A20" s="5"/>
      <c r="B20" s="6"/>
      <c r="C20" s="5"/>
      <c r="D20" s="5"/>
      <c r="E20" s="6"/>
      <c r="F20" s="7"/>
      <c r="G20" s="7"/>
      <c r="H20" s="7"/>
      <c r="I20" s="6"/>
      <c r="J20" s="5"/>
    </row>
    <row r="21" customHeight="1" spans="1:10">
      <c r="A21" s="5"/>
      <c r="B21" s="6"/>
      <c r="C21" s="5"/>
      <c r="D21" s="5"/>
      <c r="E21" s="6"/>
      <c r="F21" s="7"/>
      <c r="G21" s="7"/>
      <c r="H21" s="7"/>
      <c r="I21" s="6"/>
      <c r="J21" s="5"/>
    </row>
    <row r="22" customHeight="1" spans="1:10">
      <c r="A22" s="5"/>
      <c r="B22" s="6"/>
      <c r="C22" s="5"/>
      <c r="D22" s="5"/>
      <c r="E22" s="6"/>
      <c r="F22" s="7"/>
      <c r="G22" s="7"/>
      <c r="H22" s="7"/>
      <c r="I22" s="6"/>
      <c r="J22" s="5"/>
    </row>
    <row r="23" customHeight="1" spans="1:10">
      <c r="A23" s="5"/>
      <c r="B23" s="6"/>
      <c r="C23" s="5"/>
      <c r="D23" s="5"/>
      <c r="E23" s="6"/>
      <c r="F23" s="7"/>
      <c r="G23" s="7"/>
      <c r="H23" s="7"/>
      <c r="I23" s="6"/>
      <c r="J23" s="5"/>
    </row>
    <row r="24" customHeight="1" spans="1:10">
      <c r="A24" s="5"/>
      <c r="B24" s="6"/>
      <c r="C24" s="5"/>
      <c r="D24" s="5"/>
      <c r="E24" s="6"/>
      <c r="F24" s="7"/>
      <c r="G24" s="7"/>
      <c r="H24" s="7"/>
      <c r="I24" s="6"/>
      <c r="J24" s="5"/>
    </row>
    <row r="25" customHeight="1" spans="1:10">
      <c r="A25" s="5"/>
      <c r="B25" s="6"/>
      <c r="C25" s="5"/>
      <c r="D25" s="5"/>
      <c r="E25" s="6"/>
      <c r="F25" s="7"/>
      <c r="G25" s="7"/>
      <c r="H25" s="7"/>
      <c r="I25" s="6"/>
      <c r="J25" s="5"/>
    </row>
    <row r="26" customHeight="1" spans="1:10">
      <c r="A26" s="5"/>
      <c r="B26" s="6"/>
      <c r="C26" s="5"/>
      <c r="D26" s="5"/>
      <c r="E26" s="6"/>
      <c r="F26" s="7"/>
      <c r="G26" s="7"/>
      <c r="H26" s="7"/>
      <c r="I26" s="6"/>
      <c r="J26" s="5"/>
    </row>
    <row r="27" customHeight="1" spans="1:10">
      <c r="A27" s="5"/>
      <c r="B27" s="6"/>
      <c r="C27" s="5"/>
      <c r="D27" s="5"/>
      <c r="E27" s="6"/>
      <c r="F27" s="7"/>
      <c r="G27" s="7"/>
      <c r="H27" s="7"/>
      <c r="I27" s="6"/>
      <c r="J27" s="5"/>
    </row>
    <row r="28" customHeight="1" spans="1:10">
      <c r="A28" s="5"/>
      <c r="B28" s="6"/>
      <c r="C28" s="5"/>
      <c r="D28" s="5"/>
      <c r="E28" s="6"/>
      <c r="F28" s="7"/>
      <c r="G28" s="7"/>
      <c r="H28" s="7"/>
      <c r="I28" s="6"/>
      <c r="J28" s="5"/>
    </row>
    <row r="29" customHeight="1" spans="1:10">
      <c r="A29" s="5"/>
      <c r="B29" s="6"/>
      <c r="C29" s="5"/>
      <c r="D29" s="5"/>
      <c r="E29" s="6"/>
      <c r="F29" s="7"/>
      <c r="G29" s="7"/>
      <c r="H29" s="7"/>
      <c r="I29" s="6"/>
      <c r="J29" s="5"/>
    </row>
    <row r="30" customHeight="1" spans="1:10">
      <c r="A30" s="5"/>
      <c r="B30" s="6"/>
      <c r="C30" s="5"/>
      <c r="D30" s="5"/>
      <c r="E30" s="6"/>
      <c r="F30" s="7"/>
      <c r="G30" s="7"/>
      <c r="H30" s="7"/>
      <c r="I30" s="6"/>
      <c r="J30" s="5"/>
    </row>
    <row r="31" customHeight="1" spans="1:10">
      <c r="A31" s="5"/>
      <c r="B31" s="6"/>
      <c r="C31" s="5"/>
      <c r="D31" s="5"/>
      <c r="E31" s="6"/>
      <c r="F31" s="7"/>
      <c r="G31" s="7"/>
      <c r="H31" s="7"/>
      <c r="I31" s="6"/>
      <c r="J31" s="5"/>
    </row>
    <row r="32" customHeight="1" spans="1:10">
      <c r="A32" s="5"/>
      <c r="B32" s="6"/>
      <c r="C32" s="5"/>
      <c r="D32" s="5"/>
      <c r="E32" s="6"/>
      <c r="F32" s="7"/>
      <c r="G32" s="7"/>
      <c r="H32" s="7"/>
      <c r="I32" s="6"/>
      <c r="J32" s="5"/>
    </row>
    <row r="33" customHeight="1" spans="1:10">
      <c r="A33" s="5"/>
      <c r="B33" s="6"/>
      <c r="C33" s="5"/>
      <c r="D33" s="5"/>
      <c r="E33" s="6"/>
      <c r="F33" s="7"/>
      <c r="G33" s="7"/>
      <c r="H33" s="7"/>
      <c r="I33" s="6"/>
      <c r="J33" s="5"/>
    </row>
    <row r="34" customHeight="1" spans="1:10">
      <c r="A34" s="5"/>
      <c r="B34" s="6"/>
      <c r="C34" s="5"/>
      <c r="D34" s="5"/>
      <c r="E34" s="6"/>
      <c r="F34" s="7"/>
      <c r="G34" s="7"/>
      <c r="H34" s="7"/>
      <c r="I34" s="6"/>
      <c r="J34" s="5"/>
    </row>
    <row r="35" customHeight="1" spans="1:10">
      <c r="A35" s="5"/>
      <c r="B35" s="6"/>
      <c r="C35" s="5"/>
      <c r="D35" s="5"/>
      <c r="E35" s="6"/>
      <c r="F35" s="7"/>
      <c r="G35" s="7"/>
      <c r="H35" s="7"/>
      <c r="I35" s="6"/>
      <c r="J35" s="5"/>
    </row>
    <row r="36" customHeight="1" spans="1:10">
      <c r="A36" s="5"/>
      <c r="B36" s="6"/>
      <c r="C36" s="5"/>
      <c r="D36" s="5"/>
      <c r="E36" s="6"/>
      <c r="F36" s="7"/>
      <c r="G36" s="7"/>
      <c r="H36" s="7"/>
      <c r="I36" s="6"/>
      <c r="J36" s="5"/>
    </row>
  </sheetData>
  <mergeCells count="36">
    <mergeCell ref="A2:J2"/>
    <mergeCell ref="B3:J3"/>
    <mergeCell ref="B4:G4"/>
    <mergeCell ref="H4:J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s>
  <pageMargins left="0.90551" right="0" top="0.70866" bottom="0" header="0.55118" footer="0.3937"/>
  <pageSetup paperSize="9" firstPageNumber="5" pageOrder="overThenDown" orientation="portrait" useFirstPageNumber="1" horizontalDpi="300" verticalDpi="300"/>
  <headerFooter alignWithMargins="0" scaleWithDoc="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37"/>
  <sheetViews>
    <sheetView zoomScaleSheetLayoutView="60" workbookViewId="0">
      <selection activeCell="A1" sqref="A1"/>
    </sheetView>
  </sheetViews>
  <sheetFormatPr defaultColWidth="11" defaultRowHeight="18.75" customHeight="1" outlineLevelCol="5"/>
  <cols>
    <col min="1" max="1" width="10.125" style="1" customWidth="1"/>
    <col min="2" max="2" width="21" style="1" customWidth="1"/>
    <col min="3" max="3" width="8.125" style="1" customWidth="1"/>
    <col min="4" max="4" width="6.25" style="1" customWidth="1"/>
    <col min="5" max="5" width="13.375" style="1" customWidth="1"/>
    <col min="6" max="6" width="19.25" style="1" customWidth="1"/>
    <col min="7" max="7" width="9.625" style="1" customWidth="1"/>
    <col min="8" max="16384" width="11" style="1"/>
  </cols>
  <sheetData>
    <row r="1" ht="7.5" customHeight="1" spans="1:6">
      <c r="A1" s="3"/>
      <c r="B1" s="3"/>
      <c r="C1" s="3"/>
      <c r="D1" s="3"/>
      <c r="E1" s="3"/>
      <c r="F1" s="3"/>
    </row>
    <row r="2" ht="26.25" customHeight="1" spans="1:6">
      <c r="A2" s="2" t="s">
        <v>193</v>
      </c>
      <c r="B2" s="2"/>
      <c r="C2" s="2"/>
      <c r="D2" s="2"/>
      <c r="E2" s="2"/>
      <c r="F2" s="2"/>
    </row>
    <row r="3" customHeight="1" spans="1:6">
      <c r="A3" s="9" t="s">
        <v>46</v>
      </c>
      <c r="B3" s="3"/>
      <c r="C3" s="3"/>
      <c r="D3" s="3"/>
      <c r="E3" s="3"/>
      <c r="F3" s="3"/>
    </row>
    <row r="4" customHeight="1" spans="1:6">
      <c r="A4" s="9" t="s">
        <v>47</v>
      </c>
      <c r="B4" s="10" t="s">
        <v>0</v>
      </c>
      <c r="C4" s="10"/>
      <c r="D4" s="10"/>
      <c r="E4" s="10"/>
      <c r="F4" s="16" t="s">
        <v>28</v>
      </c>
    </row>
    <row r="5" customHeight="1" spans="1:6">
      <c r="A5" s="6" t="s">
        <v>48</v>
      </c>
      <c r="B5" s="6" t="s">
        <v>65</v>
      </c>
      <c r="C5" s="6"/>
      <c r="D5" s="6"/>
      <c r="E5" s="6" t="s">
        <v>50</v>
      </c>
      <c r="F5" s="6" t="s">
        <v>71</v>
      </c>
    </row>
    <row r="6" customHeight="1" spans="1:6">
      <c r="A6" s="5" t="s">
        <v>51</v>
      </c>
      <c r="B6" s="5" t="s">
        <v>194</v>
      </c>
      <c r="C6" s="5"/>
      <c r="D6" s="5"/>
      <c r="E6" s="15">
        <f>ROUND((('分类分项工程量清单(建筑)'!H6)+(0)+(0)+('分类分项工程量清单(临时)'!H6+'分类分项工程量清单(临时)'!H8))*1.5%,2)</f>
        <v>19965.84</v>
      </c>
      <c r="F6" s="5"/>
    </row>
    <row r="7" customHeight="1" spans="1:6">
      <c r="A7" s="5"/>
      <c r="B7" s="5"/>
      <c r="C7" s="5"/>
      <c r="D7" s="5"/>
      <c r="E7" s="7"/>
      <c r="F7" s="5"/>
    </row>
    <row r="8" customHeight="1" spans="1:6">
      <c r="A8" s="5"/>
      <c r="B8" s="5"/>
      <c r="C8" s="5"/>
      <c r="D8" s="5"/>
      <c r="E8" s="7"/>
      <c r="F8" s="5"/>
    </row>
    <row r="9" customHeight="1" spans="1:6">
      <c r="A9" s="5"/>
      <c r="B9" s="5"/>
      <c r="C9" s="5"/>
      <c r="D9" s="5"/>
      <c r="E9" s="7"/>
      <c r="F9" s="5"/>
    </row>
    <row r="10" customHeight="1" spans="1:6">
      <c r="A10" s="5"/>
      <c r="B10" s="5"/>
      <c r="C10" s="5"/>
      <c r="D10" s="5"/>
      <c r="E10" s="7"/>
      <c r="F10" s="5"/>
    </row>
    <row r="11" customHeight="1" spans="1:6">
      <c r="A11" s="5"/>
      <c r="B11" s="5"/>
      <c r="C11" s="5"/>
      <c r="D11" s="5"/>
      <c r="E11" s="7"/>
      <c r="F11" s="5"/>
    </row>
    <row r="12" customHeight="1" spans="1:6">
      <c r="A12" s="5"/>
      <c r="B12" s="5"/>
      <c r="C12" s="5"/>
      <c r="D12" s="5"/>
      <c r="E12" s="7"/>
      <c r="F12" s="5"/>
    </row>
    <row r="13" customHeight="1" spans="1:6">
      <c r="A13" s="5"/>
      <c r="B13" s="5"/>
      <c r="C13" s="5"/>
      <c r="D13" s="5"/>
      <c r="E13" s="7"/>
      <c r="F13" s="5"/>
    </row>
    <row r="14" customHeight="1" spans="1:6">
      <c r="A14" s="5"/>
      <c r="B14" s="5"/>
      <c r="C14" s="5"/>
      <c r="D14" s="5"/>
      <c r="E14" s="7"/>
      <c r="F14" s="5"/>
    </row>
    <row r="15" customHeight="1" spans="1:6">
      <c r="A15" s="5"/>
      <c r="B15" s="5"/>
      <c r="C15" s="5"/>
      <c r="D15" s="5"/>
      <c r="E15" s="7"/>
      <c r="F15" s="5"/>
    </row>
    <row r="16" customHeight="1" spans="1:6">
      <c r="A16" s="5"/>
      <c r="B16" s="5"/>
      <c r="C16" s="5"/>
      <c r="D16" s="5"/>
      <c r="E16" s="7"/>
      <c r="F16" s="5"/>
    </row>
    <row r="17" customHeight="1" spans="1:6">
      <c r="A17" s="5"/>
      <c r="B17" s="5"/>
      <c r="C17" s="5"/>
      <c r="D17" s="5"/>
      <c r="E17" s="7"/>
      <c r="F17" s="5"/>
    </row>
    <row r="18" customHeight="1" spans="1:6">
      <c r="A18" s="5"/>
      <c r="B18" s="5"/>
      <c r="C18" s="5"/>
      <c r="D18" s="5"/>
      <c r="E18" s="7"/>
      <c r="F18" s="5"/>
    </row>
    <row r="19" customHeight="1" spans="1:6">
      <c r="A19" s="5"/>
      <c r="B19" s="5"/>
      <c r="C19" s="5"/>
      <c r="D19" s="5"/>
      <c r="E19" s="7"/>
      <c r="F19" s="5"/>
    </row>
    <row r="20" customHeight="1" spans="1:6">
      <c r="A20" s="5"/>
      <c r="B20" s="5"/>
      <c r="C20" s="5"/>
      <c r="D20" s="5"/>
      <c r="E20" s="7"/>
      <c r="F20" s="5"/>
    </row>
    <row r="21" customHeight="1" spans="1:6">
      <c r="A21" s="5"/>
      <c r="B21" s="5"/>
      <c r="C21" s="5"/>
      <c r="D21" s="5"/>
      <c r="E21" s="7"/>
      <c r="F21" s="5"/>
    </row>
    <row r="22" customHeight="1" spans="1:6">
      <c r="A22" s="5"/>
      <c r="B22" s="5"/>
      <c r="C22" s="5"/>
      <c r="D22" s="5"/>
      <c r="E22" s="7"/>
      <c r="F22" s="5"/>
    </row>
    <row r="23" customHeight="1" spans="1:6">
      <c r="A23" s="5"/>
      <c r="B23" s="5"/>
      <c r="C23" s="5"/>
      <c r="D23" s="5"/>
      <c r="E23" s="7"/>
      <c r="F23" s="5"/>
    </row>
    <row r="24" customHeight="1" spans="1:6">
      <c r="A24" s="5"/>
      <c r="B24" s="5"/>
      <c r="C24" s="5"/>
      <c r="D24" s="5"/>
      <c r="E24" s="7"/>
      <c r="F24" s="5"/>
    </row>
    <row r="25" customHeight="1" spans="1:6">
      <c r="A25" s="5"/>
      <c r="B25" s="5"/>
      <c r="C25" s="5"/>
      <c r="D25" s="5"/>
      <c r="E25" s="7"/>
      <c r="F25" s="5"/>
    </row>
    <row r="26" customHeight="1" spans="1:6">
      <c r="A26" s="5"/>
      <c r="B26" s="5"/>
      <c r="C26" s="5"/>
      <c r="D26" s="5"/>
      <c r="E26" s="7"/>
      <c r="F26" s="5"/>
    </row>
    <row r="27" customHeight="1" spans="1:6">
      <c r="A27" s="5"/>
      <c r="B27" s="5"/>
      <c r="C27" s="5"/>
      <c r="D27" s="5"/>
      <c r="E27" s="7"/>
      <c r="F27" s="5"/>
    </row>
    <row r="28" customHeight="1" spans="1:6">
      <c r="A28" s="5"/>
      <c r="B28" s="5"/>
      <c r="C28" s="5"/>
      <c r="D28" s="5"/>
      <c r="E28" s="7"/>
      <c r="F28" s="5"/>
    </row>
    <row r="29" customHeight="1" spans="1:6">
      <c r="A29" s="5"/>
      <c r="B29" s="5"/>
      <c r="C29" s="5"/>
      <c r="D29" s="5"/>
      <c r="E29" s="7"/>
      <c r="F29" s="5"/>
    </row>
    <row r="30" customHeight="1" spans="1:6">
      <c r="A30" s="5"/>
      <c r="B30" s="5"/>
      <c r="C30" s="5"/>
      <c r="D30" s="5"/>
      <c r="E30" s="7"/>
      <c r="F30" s="5"/>
    </row>
    <row r="31" customHeight="1" spans="1:6">
      <c r="A31" s="5"/>
      <c r="B31" s="5"/>
      <c r="C31" s="5"/>
      <c r="D31" s="5"/>
      <c r="E31" s="7"/>
      <c r="F31" s="5"/>
    </row>
    <row r="32" customHeight="1" spans="1:6">
      <c r="A32" s="5"/>
      <c r="B32" s="5"/>
      <c r="C32" s="5"/>
      <c r="D32" s="5"/>
      <c r="E32" s="7"/>
      <c r="F32" s="5"/>
    </row>
    <row r="33" customHeight="1" spans="1:6">
      <c r="A33" s="5"/>
      <c r="B33" s="5"/>
      <c r="C33" s="5"/>
      <c r="D33" s="5"/>
      <c r="E33" s="7"/>
      <c r="F33" s="5"/>
    </row>
    <row r="34" customHeight="1" spans="1:6">
      <c r="A34" s="5"/>
      <c r="B34" s="5"/>
      <c r="C34" s="5"/>
      <c r="D34" s="5"/>
      <c r="E34" s="7"/>
      <c r="F34" s="5"/>
    </row>
    <row r="35" customHeight="1" spans="1:6">
      <c r="A35" s="5"/>
      <c r="B35" s="5"/>
      <c r="C35" s="5"/>
      <c r="D35" s="5"/>
      <c r="E35" s="7"/>
      <c r="F35" s="5"/>
    </row>
    <row r="36" customHeight="1" spans="1:6">
      <c r="A36" s="5"/>
      <c r="B36" s="5"/>
      <c r="C36" s="5"/>
      <c r="D36" s="5"/>
      <c r="E36" s="7"/>
      <c r="F36" s="5"/>
    </row>
    <row r="37" customHeight="1" spans="1:6">
      <c r="A37" s="5"/>
      <c r="B37" s="5"/>
      <c r="C37" s="5"/>
      <c r="D37" s="5"/>
      <c r="E37" s="7"/>
      <c r="F37" s="5"/>
    </row>
  </sheetData>
  <mergeCells count="36">
    <mergeCell ref="A2:F2"/>
    <mergeCell ref="B3:F3"/>
    <mergeCell ref="B4:E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s>
  <pageMargins left="0.90551" right="0" top="0.70866" bottom="0" header="0.55118" footer="0.3937"/>
  <pageSetup paperSize="9" firstPageNumber="6" pageOrder="overThenDown" orientation="portrait" useFirstPageNumber="1" horizontalDpi="300" verticalDpi="300"/>
  <headerFooter alignWithMargins="0" scaleWithDoc="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37"/>
  <sheetViews>
    <sheetView zoomScaleSheetLayoutView="60" workbookViewId="0">
      <selection activeCell="A1" sqref="A1"/>
    </sheetView>
  </sheetViews>
  <sheetFormatPr defaultColWidth="11" defaultRowHeight="18.75" customHeight="1" outlineLevelCol="5"/>
  <cols>
    <col min="1" max="1" width="10.125" style="1" customWidth="1"/>
    <col min="2" max="2" width="21.625" style="1" customWidth="1"/>
    <col min="3" max="3" width="8.125" style="1" customWidth="1"/>
    <col min="4" max="4" width="5.75" style="1" customWidth="1"/>
    <col min="5" max="5" width="13.25" style="1" customWidth="1"/>
    <col min="6" max="6" width="19.25" style="1" customWidth="1"/>
    <col min="7" max="7" width="9.625" style="1" customWidth="1"/>
    <col min="8" max="16384" width="11" style="1"/>
  </cols>
  <sheetData>
    <row r="1" ht="7.5" customHeight="1" spans="1:6">
      <c r="A1" s="3"/>
      <c r="B1" s="3"/>
      <c r="C1" s="3"/>
      <c r="D1" s="3"/>
      <c r="E1" s="3"/>
      <c r="F1" s="3"/>
    </row>
    <row r="2" ht="26.25" customHeight="1" spans="1:6">
      <c r="A2" s="2" t="s">
        <v>195</v>
      </c>
      <c r="B2" s="2"/>
      <c r="C2" s="2"/>
      <c r="D2" s="2"/>
      <c r="E2" s="2"/>
      <c r="F2" s="2"/>
    </row>
    <row r="3" customHeight="1" spans="1:6">
      <c r="A3" s="9" t="s">
        <v>46</v>
      </c>
      <c r="B3" s="3"/>
      <c r="C3" s="3"/>
      <c r="D3" s="3"/>
      <c r="E3" s="3"/>
      <c r="F3" s="3"/>
    </row>
    <row r="4" customHeight="1" spans="1:6">
      <c r="A4" s="9" t="s">
        <v>47</v>
      </c>
      <c r="B4" s="10" t="s">
        <v>0</v>
      </c>
      <c r="C4" s="10"/>
      <c r="D4" s="10"/>
      <c r="E4" s="10"/>
      <c r="F4" s="16" t="s">
        <v>28</v>
      </c>
    </row>
    <row r="5" customHeight="1" spans="1:6">
      <c r="A5" s="6" t="s">
        <v>48</v>
      </c>
      <c r="B5" s="6" t="s">
        <v>65</v>
      </c>
      <c r="C5" s="6"/>
      <c r="D5" s="6"/>
      <c r="E5" s="6" t="s">
        <v>50</v>
      </c>
      <c r="F5" s="6" t="s">
        <v>71</v>
      </c>
    </row>
    <row r="6" customHeight="1" spans="1:6">
      <c r="A6" s="5" t="s">
        <v>51</v>
      </c>
      <c r="B6" s="5" t="s">
        <v>196</v>
      </c>
      <c r="C6" s="5"/>
      <c r="D6" s="5"/>
      <c r="E6" s="15">
        <f>ROUND((('分类分项工程量清单(建筑)'!H6)+(0)+(0)+('分类分项工程量清单(临时)'!H6+'分类分项工程量清单(临时)'!H8))*0.3%,2)</f>
        <v>3993.17</v>
      </c>
      <c r="F6" s="5"/>
    </row>
    <row r="7" customHeight="1" spans="1:6">
      <c r="A7" s="5"/>
      <c r="B7" s="5"/>
      <c r="C7" s="5"/>
      <c r="D7" s="5"/>
      <c r="E7" s="7"/>
      <c r="F7" s="5"/>
    </row>
    <row r="8" customHeight="1" spans="1:6">
      <c r="A8" s="5"/>
      <c r="B8" s="5"/>
      <c r="C8" s="5"/>
      <c r="D8" s="5"/>
      <c r="E8" s="7"/>
      <c r="F8" s="5"/>
    </row>
    <row r="9" customHeight="1" spans="1:6">
      <c r="A9" s="5"/>
      <c r="B9" s="5"/>
      <c r="C9" s="5"/>
      <c r="D9" s="5"/>
      <c r="E9" s="7"/>
      <c r="F9" s="5"/>
    </row>
    <row r="10" customHeight="1" spans="1:6">
      <c r="A10" s="5"/>
      <c r="B10" s="5"/>
      <c r="C10" s="5"/>
      <c r="D10" s="5"/>
      <c r="E10" s="7"/>
      <c r="F10" s="5"/>
    </row>
    <row r="11" customHeight="1" spans="1:6">
      <c r="A11" s="5"/>
      <c r="B11" s="5"/>
      <c r="C11" s="5"/>
      <c r="D11" s="5"/>
      <c r="E11" s="7"/>
      <c r="F11" s="5"/>
    </row>
    <row r="12" customHeight="1" spans="1:6">
      <c r="A12" s="5"/>
      <c r="B12" s="5"/>
      <c r="C12" s="5"/>
      <c r="D12" s="5"/>
      <c r="E12" s="7"/>
      <c r="F12" s="5"/>
    </row>
    <row r="13" customHeight="1" spans="1:6">
      <c r="A13" s="5"/>
      <c r="B13" s="5"/>
      <c r="C13" s="5"/>
      <c r="D13" s="5"/>
      <c r="E13" s="7"/>
      <c r="F13" s="5"/>
    </row>
    <row r="14" customHeight="1" spans="1:6">
      <c r="A14" s="5"/>
      <c r="B14" s="5"/>
      <c r="C14" s="5"/>
      <c r="D14" s="5"/>
      <c r="E14" s="7"/>
      <c r="F14" s="5"/>
    </row>
    <row r="15" customHeight="1" spans="1:6">
      <c r="A15" s="5"/>
      <c r="B15" s="5"/>
      <c r="C15" s="5"/>
      <c r="D15" s="5"/>
      <c r="E15" s="7"/>
      <c r="F15" s="5"/>
    </row>
    <row r="16" customHeight="1" spans="1:6">
      <c r="A16" s="5"/>
      <c r="B16" s="5"/>
      <c r="C16" s="5"/>
      <c r="D16" s="5"/>
      <c r="E16" s="7"/>
      <c r="F16" s="5"/>
    </row>
    <row r="17" customHeight="1" spans="1:6">
      <c r="A17" s="5"/>
      <c r="B17" s="5"/>
      <c r="C17" s="5"/>
      <c r="D17" s="5"/>
      <c r="E17" s="7"/>
      <c r="F17" s="5"/>
    </row>
    <row r="18" customHeight="1" spans="1:6">
      <c r="A18" s="5"/>
      <c r="B18" s="5"/>
      <c r="C18" s="5"/>
      <c r="D18" s="5"/>
      <c r="E18" s="7"/>
      <c r="F18" s="5"/>
    </row>
    <row r="19" customHeight="1" spans="1:6">
      <c r="A19" s="5"/>
      <c r="B19" s="5"/>
      <c r="C19" s="5"/>
      <c r="D19" s="5"/>
      <c r="E19" s="7"/>
      <c r="F19" s="5"/>
    </row>
    <row r="20" customHeight="1" spans="1:6">
      <c r="A20" s="5"/>
      <c r="B20" s="5"/>
      <c r="C20" s="5"/>
      <c r="D20" s="5"/>
      <c r="E20" s="7"/>
      <c r="F20" s="5"/>
    </row>
    <row r="21" customHeight="1" spans="1:6">
      <c r="A21" s="5"/>
      <c r="B21" s="5"/>
      <c r="C21" s="5"/>
      <c r="D21" s="5"/>
      <c r="E21" s="7"/>
      <c r="F21" s="5"/>
    </row>
    <row r="22" customHeight="1" spans="1:6">
      <c r="A22" s="5"/>
      <c r="B22" s="5"/>
      <c r="C22" s="5"/>
      <c r="D22" s="5"/>
      <c r="E22" s="7"/>
      <c r="F22" s="5"/>
    </row>
    <row r="23" customHeight="1" spans="1:6">
      <c r="A23" s="5"/>
      <c r="B23" s="5"/>
      <c r="C23" s="5"/>
      <c r="D23" s="5"/>
      <c r="E23" s="7"/>
      <c r="F23" s="5"/>
    </row>
    <row r="24" customHeight="1" spans="1:6">
      <c r="A24" s="5"/>
      <c r="B24" s="5"/>
      <c r="C24" s="5"/>
      <c r="D24" s="5"/>
      <c r="E24" s="7"/>
      <c r="F24" s="5"/>
    </row>
    <row r="25" customHeight="1" spans="1:6">
      <c r="A25" s="5"/>
      <c r="B25" s="5"/>
      <c r="C25" s="5"/>
      <c r="D25" s="5"/>
      <c r="E25" s="7"/>
      <c r="F25" s="5"/>
    </row>
    <row r="26" customHeight="1" spans="1:6">
      <c r="A26" s="5"/>
      <c r="B26" s="5"/>
      <c r="C26" s="5"/>
      <c r="D26" s="5"/>
      <c r="E26" s="7"/>
      <c r="F26" s="5"/>
    </row>
    <row r="27" customHeight="1" spans="1:6">
      <c r="A27" s="5"/>
      <c r="B27" s="5"/>
      <c r="C27" s="5"/>
      <c r="D27" s="5"/>
      <c r="E27" s="7"/>
      <c r="F27" s="5"/>
    </row>
    <row r="28" customHeight="1" spans="1:6">
      <c r="A28" s="5"/>
      <c r="B28" s="5"/>
      <c r="C28" s="5"/>
      <c r="D28" s="5"/>
      <c r="E28" s="7"/>
      <c r="F28" s="5"/>
    </row>
    <row r="29" customHeight="1" spans="1:6">
      <c r="A29" s="5"/>
      <c r="B29" s="5"/>
      <c r="C29" s="5"/>
      <c r="D29" s="5"/>
      <c r="E29" s="7"/>
      <c r="F29" s="5"/>
    </row>
    <row r="30" customHeight="1" spans="1:6">
      <c r="A30" s="5"/>
      <c r="B30" s="5"/>
      <c r="C30" s="5"/>
      <c r="D30" s="5"/>
      <c r="E30" s="7"/>
      <c r="F30" s="5"/>
    </row>
    <row r="31" customHeight="1" spans="1:6">
      <c r="A31" s="5"/>
      <c r="B31" s="5"/>
      <c r="C31" s="5"/>
      <c r="D31" s="5"/>
      <c r="E31" s="7"/>
      <c r="F31" s="5"/>
    </row>
    <row r="32" customHeight="1" spans="1:6">
      <c r="A32" s="5"/>
      <c r="B32" s="5"/>
      <c r="C32" s="5"/>
      <c r="D32" s="5"/>
      <c r="E32" s="7"/>
      <c r="F32" s="5"/>
    </row>
    <row r="33" customHeight="1" spans="1:6">
      <c r="A33" s="5"/>
      <c r="B33" s="5"/>
      <c r="C33" s="5"/>
      <c r="D33" s="5"/>
      <c r="E33" s="7"/>
      <c r="F33" s="5"/>
    </row>
    <row r="34" customHeight="1" spans="1:6">
      <c r="A34" s="5"/>
      <c r="B34" s="5"/>
      <c r="C34" s="5"/>
      <c r="D34" s="5"/>
      <c r="E34" s="7"/>
      <c r="F34" s="5"/>
    </row>
    <row r="35" customHeight="1" spans="1:6">
      <c r="A35" s="5"/>
      <c r="B35" s="5"/>
      <c r="C35" s="5"/>
      <c r="D35" s="5"/>
      <c r="E35" s="7"/>
      <c r="F35" s="5"/>
    </row>
    <row r="36" customHeight="1" spans="1:6">
      <c r="A36" s="5"/>
      <c r="B36" s="5"/>
      <c r="C36" s="5"/>
      <c r="D36" s="5"/>
      <c r="E36" s="7"/>
      <c r="F36" s="5"/>
    </row>
    <row r="37" customHeight="1" spans="1:6">
      <c r="A37" s="5"/>
      <c r="B37" s="5"/>
      <c r="C37" s="5"/>
      <c r="D37" s="5"/>
      <c r="E37" s="7"/>
      <c r="F37" s="5"/>
    </row>
  </sheetData>
  <mergeCells count="36">
    <mergeCell ref="A2:F2"/>
    <mergeCell ref="B3:F3"/>
    <mergeCell ref="B4:E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s>
  <pageMargins left="0.90551" right="0" top="0.70866" bottom="0" header="0.55118" footer="0.3937"/>
  <pageSetup paperSize="9" firstPageNumber="7" pageOrder="overThenDown" orientation="portrait" useFirstPageNumber="1" horizontalDpi="300" verticalDpi="3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封-2 招标控制价</vt:lpstr>
      <vt:lpstr>扉-2 招标控制价</vt:lpstr>
      <vt:lpstr>表-01总说明</vt:lpstr>
      <vt:lpstr>工程项目总价表</vt:lpstr>
      <vt:lpstr>分类分项工程量清单(建筑)</vt:lpstr>
      <vt:lpstr>分类分项工程量清单(安装)</vt:lpstr>
      <vt:lpstr>分类分项工程量清单(临时)</vt:lpstr>
      <vt:lpstr>措施项目清单</vt:lpstr>
      <vt:lpstr>其他项目清单</vt:lpstr>
      <vt:lpstr>工程单价汇总表</vt:lpstr>
      <vt:lpstr>工程单价费(税)率汇总表</vt:lpstr>
      <vt:lpstr>电、风、水、砂石基础单价汇总表</vt:lpstr>
      <vt:lpstr>混凝土配合比材料费表</vt:lpstr>
      <vt:lpstr>主要材料预算价格汇总表</vt:lpstr>
      <vt:lpstr>施工机械台时费汇总表</vt:lpstr>
      <vt:lpstr>工程单价计算表</vt:lpstr>
      <vt:lpstr>人工费单价汇总表</vt:lpstr>
      <vt:lpstr>主要材料总消耗量统计表</vt:lpstr>
      <vt:lpstr>次要材料总消耗量统计表</vt:lpstr>
      <vt:lpstr>施工机械总消耗量统计表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Excel</dc:creator>
  <cp:lastModifiedBy>小鱼的小</cp:lastModifiedBy>
  <dcterms:created xsi:type="dcterms:W3CDTF">2025-03-27T21:01:00Z</dcterms:created>
  <dcterms:modified xsi:type="dcterms:W3CDTF">2025-04-21T03:24:58Z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A25ADDDF19C943D4BECC0CE8C709BC76_12</vt:lpwstr>
  </property>
  <property fmtid="{D5CDD505-2E9C-101B-9397-08002B2CF9AE}" pid="3" name="KSOProductBuildVer">
    <vt:lpwstr>2052-11.1.0.14036</vt:lpwstr>
  </property>
</Properties>
</file>