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2025\移民局\全州县文桥镇谏禄村委和平片基础设施项目\施工图（改）\第四篇\"/>
    </mc:Choice>
  </mc:AlternateContent>
  <xr:revisionPtr revIDLastSave="0" documentId="13_ncr:1_{F2573AC9-6CF8-422C-B5E6-79E0B20DCCF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Macro1" sheetId="33" r:id="rId1"/>
    <sheet name="工程数量汇总表" sheetId="25" r:id="rId2"/>
    <sheet name="工程数量汇总表 (碳纤维板) (2)" sheetId="44" r:id="rId3"/>
    <sheet name="工程数量汇总表 (贴钢板)" sheetId="40" r:id="rId4"/>
    <sheet name="工程数量汇总表 (贴钢板) (8mm和6mm分开计列)" sheetId="46" r:id="rId5"/>
    <sheet name="Sheet6" sheetId="45" r:id="rId6"/>
    <sheet name="钢板" sheetId="43" r:id="rId7"/>
    <sheet name="Sheet5" sheetId="42" r:id="rId8"/>
    <sheet name="Sheet2" sheetId="41" r:id="rId9"/>
    <sheet name="Sheet4" sheetId="37" r:id="rId10"/>
    <sheet name="Sheet1" sheetId="34" r:id="rId11"/>
    <sheet name="病害统计" sheetId="38" r:id="rId12"/>
    <sheet name="Sheet3" sheetId="39" r:id="rId13"/>
    <sheet name="Sheet1 (2)" sheetId="35" r:id="rId14"/>
  </sheets>
  <definedNames>
    <definedName name="_xlnm.Print_Area" localSheetId="1">工程数量汇总表!$A$1:$M$36</definedName>
    <definedName name="_xlnm.Print_Area" localSheetId="2">'工程数量汇总表 (碳纤维板) (2)'!$A$1:$M$34</definedName>
    <definedName name="_xlnm.Print_Area" localSheetId="3">'工程数量汇总表 (贴钢板)'!$A$1:$O$34</definedName>
    <definedName name="_xlnm.Print_Area" localSheetId="4">'工程数量汇总表 (贴钢板) (8mm和6mm分开计列)'!$A$1:$M$34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35" l="1"/>
  <c r="G60" i="35"/>
  <c r="F60" i="35"/>
  <c r="H57" i="35"/>
  <c r="F57" i="35"/>
  <c r="H54" i="35"/>
  <c r="F54" i="35"/>
  <c r="H51" i="35"/>
  <c r="F51" i="35"/>
  <c r="I44" i="35"/>
  <c r="I42" i="35"/>
  <c r="F42" i="35"/>
  <c r="I35" i="35"/>
  <c r="H33" i="35"/>
  <c r="H30" i="35"/>
  <c r="H29" i="35"/>
  <c r="C29" i="35"/>
  <c r="H28" i="35"/>
  <c r="I27" i="35"/>
  <c r="H27" i="35"/>
  <c r="G27" i="35"/>
  <c r="F27" i="35"/>
  <c r="E27" i="35"/>
  <c r="D27" i="35"/>
  <c r="C27" i="35"/>
  <c r="C24" i="35"/>
  <c r="C23" i="35"/>
  <c r="E19" i="35"/>
  <c r="F17" i="35"/>
  <c r="E17" i="35"/>
  <c r="D17" i="35"/>
  <c r="I11" i="35"/>
  <c r="G10" i="35"/>
  <c r="G9" i="35"/>
  <c r="G8" i="35"/>
  <c r="I6" i="35"/>
  <c r="R51" i="39"/>
  <c r="Q51" i="39"/>
  <c r="R41" i="39"/>
  <c r="O36" i="39"/>
  <c r="Q35" i="39"/>
  <c r="P35" i="39"/>
  <c r="O34" i="39"/>
  <c r="Q33" i="39"/>
  <c r="P33" i="39"/>
  <c r="O32" i="39"/>
  <c r="Q31" i="39"/>
  <c r="P31" i="39"/>
  <c r="O30" i="39"/>
  <c r="Q29" i="39"/>
  <c r="P29" i="39"/>
  <c r="O28" i="39"/>
  <c r="Q27" i="39"/>
  <c r="P27" i="39"/>
  <c r="O26" i="39"/>
  <c r="Q25" i="39"/>
  <c r="P25" i="39"/>
  <c r="O24" i="39"/>
  <c r="Q23" i="39"/>
  <c r="P23" i="39"/>
  <c r="O22" i="39"/>
  <c r="Q21" i="39"/>
  <c r="P21" i="39"/>
  <c r="O20" i="39"/>
  <c r="Q19" i="39"/>
  <c r="P19" i="39"/>
  <c r="O18" i="39"/>
  <c r="Q17" i="39"/>
  <c r="P17" i="39"/>
  <c r="O16" i="39"/>
  <c r="Q15" i="39"/>
  <c r="P15" i="39"/>
  <c r="O14" i="39"/>
  <c r="Q13" i="39"/>
  <c r="P13" i="39"/>
  <c r="O12" i="39"/>
  <c r="Q11" i="39"/>
  <c r="P11" i="39"/>
  <c r="O10" i="39"/>
  <c r="Q9" i="39"/>
  <c r="P9" i="39"/>
  <c r="O8" i="39"/>
  <c r="Q7" i="39"/>
  <c r="P7" i="39"/>
  <c r="O6" i="39"/>
  <c r="Q5" i="39"/>
  <c r="P5" i="39"/>
  <c r="O4" i="39"/>
  <c r="Q3" i="39"/>
  <c r="P3" i="39"/>
  <c r="O2" i="39"/>
  <c r="Q1" i="39"/>
  <c r="P1" i="39"/>
  <c r="O21" i="38"/>
  <c r="O20" i="38"/>
  <c r="O19" i="38"/>
  <c r="N5" i="38"/>
  <c r="H63" i="34"/>
  <c r="G60" i="34"/>
  <c r="F60" i="34"/>
  <c r="H57" i="34"/>
  <c r="F57" i="34"/>
  <c r="H54" i="34"/>
  <c r="F54" i="34"/>
  <c r="H51" i="34"/>
  <c r="F51" i="34"/>
  <c r="I44" i="34"/>
  <c r="I42" i="34"/>
  <c r="F42" i="34"/>
  <c r="I35" i="34"/>
  <c r="H33" i="34"/>
  <c r="H30" i="34"/>
  <c r="H29" i="34"/>
  <c r="C29" i="34"/>
  <c r="H28" i="34"/>
  <c r="I27" i="34"/>
  <c r="H27" i="34"/>
  <c r="G27" i="34"/>
  <c r="F27" i="34"/>
  <c r="E27" i="34"/>
  <c r="D27" i="34"/>
  <c r="C27" i="34"/>
  <c r="C24" i="34"/>
  <c r="C23" i="34"/>
  <c r="E19" i="34"/>
  <c r="F17" i="34"/>
  <c r="E17" i="34"/>
  <c r="D17" i="34"/>
  <c r="G12" i="34"/>
  <c r="I11" i="34"/>
  <c r="G11" i="34"/>
  <c r="G10" i="34"/>
  <c r="H9" i="34"/>
  <c r="G9" i="34"/>
  <c r="G8" i="34"/>
  <c r="I6" i="34"/>
  <c r="G43" i="37"/>
  <c r="M40" i="37"/>
  <c r="E40" i="37"/>
  <c r="M39" i="37"/>
  <c r="E39" i="37"/>
  <c r="M38" i="37"/>
  <c r="E38" i="37"/>
  <c r="M37" i="37"/>
  <c r="E37" i="37"/>
  <c r="S36" i="37"/>
  <c r="O36" i="37"/>
  <c r="M36" i="37"/>
  <c r="E36" i="37"/>
  <c r="M35" i="37"/>
  <c r="E35" i="37"/>
  <c r="M34" i="37"/>
  <c r="E34" i="37"/>
  <c r="M33" i="37"/>
  <c r="E33" i="37"/>
  <c r="V32" i="37"/>
  <c r="T32" i="37"/>
  <c r="M32" i="37"/>
  <c r="E32" i="37"/>
  <c r="Q31" i="37"/>
  <c r="P31" i="37"/>
  <c r="N31" i="37"/>
  <c r="M31" i="37"/>
  <c r="G31" i="37"/>
  <c r="F31" i="37"/>
  <c r="E31" i="37"/>
  <c r="Q30" i="37"/>
  <c r="P30" i="37"/>
  <c r="N30" i="37"/>
  <c r="M30" i="37"/>
  <c r="L30" i="37"/>
  <c r="G30" i="37"/>
  <c r="F30" i="37"/>
  <c r="E30" i="37"/>
  <c r="T29" i="37"/>
  <c r="R29" i="37"/>
  <c r="Q29" i="37"/>
  <c r="P29" i="37"/>
  <c r="N29" i="37"/>
  <c r="M29" i="37"/>
  <c r="L29" i="37"/>
  <c r="G29" i="37"/>
  <c r="F29" i="37"/>
  <c r="E29" i="37"/>
  <c r="T28" i="37"/>
  <c r="R28" i="37"/>
  <c r="Q28" i="37"/>
  <c r="P28" i="37"/>
  <c r="N28" i="37"/>
  <c r="M28" i="37"/>
  <c r="L28" i="37"/>
  <c r="G28" i="37"/>
  <c r="F28" i="37"/>
  <c r="E28" i="37"/>
  <c r="T27" i="37"/>
  <c r="R27" i="37"/>
  <c r="Q27" i="37"/>
  <c r="P27" i="37"/>
  <c r="N27" i="37"/>
  <c r="M27" i="37"/>
  <c r="L27" i="37"/>
  <c r="G27" i="37"/>
  <c r="F27" i="37"/>
  <c r="E27" i="37"/>
  <c r="T26" i="37"/>
  <c r="R26" i="37"/>
  <c r="Q26" i="37"/>
  <c r="P26" i="37"/>
  <c r="N26" i="37"/>
  <c r="M26" i="37"/>
  <c r="L26" i="37"/>
  <c r="G26" i="37"/>
  <c r="F26" i="37"/>
  <c r="E26" i="37"/>
  <c r="T25" i="37"/>
  <c r="R25" i="37"/>
  <c r="Q25" i="37"/>
  <c r="P25" i="37"/>
  <c r="N25" i="37"/>
  <c r="M25" i="37"/>
  <c r="L25" i="37"/>
  <c r="G25" i="37"/>
  <c r="F25" i="37"/>
  <c r="E25" i="37"/>
  <c r="M19" i="37"/>
  <c r="H19" i="37"/>
  <c r="M18" i="37"/>
  <c r="H18" i="37"/>
  <c r="F18" i="37"/>
  <c r="M17" i="37"/>
  <c r="H17" i="37"/>
  <c r="F17" i="37"/>
  <c r="M16" i="37"/>
  <c r="H16" i="37"/>
  <c r="F16" i="37"/>
  <c r="S15" i="37"/>
  <c r="O15" i="37"/>
  <c r="M15" i="37"/>
  <c r="H15" i="37"/>
  <c r="F15" i="37"/>
  <c r="M14" i="37"/>
  <c r="H14" i="37"/>
  <c r="M13" i="37"/>
  <c r="H13" i="37"/>
  <c r="M12" i="37"/>
  <c r="H12" i="37"/>
  <c r="V11" i="37"/>
  <c r="T11" i="37"/>
  <c r="M11" i="37"/>
  <c r="H11" i="37"/>
  <c r="G11" i="37"/>
  <c r="F11" i="37"/>
  <c r="Q10" i="37"/>
  <c r="P10" i="37"/>
  <c r="N10" i="37"/>
  <c r="M10" i="37"/>
  <c r="H10" i="37"/>
  <c r="G10" i="37"/>
  <c r="F10" i="37"/>
  <c r="Q9" i="37"/>
  <c r="P9" i="37"/>
  <c r="N9" i="37"/>
  <c r="M9" i="37"/>
  <c r="L9" i="37"/>
  <c r="H9" i="37"/>
  <c r="G9" i="37"/>
  <c r="F9" i="37"/>
  <c r="T8" i="37"/>
  <c r="R8" i="37"/>
  <c r="Q8" i="37"/>
  <c r="P8" i="37"/>
  <c r="N8" i="37"/>
  <c r="M8" i="37"/>
  <c r="L8" i="37"/>
  <c r="H8" i="37"/>
  <c r="G8" i="37"/>
  <c r="F8" i="37"/>
  <c r="T7" i="37"/>
  <c r="R7" i="37"/>
  <c r="Q7" i="37"/>
  <c r="P7" i="37"/>
  <c r="N7" i="37"/>
  <c r="M7" i="37"/>
  <c r="L7" i="37"/>
  <c r="H7" i="37"/>
  <c r="G7" i="37"/>
  <c r="F7" i="37"/>
  <c r="T6" i="37"/>
  <c r="R6" i="37"/>
  <c r="Q6" i="37"/>
  <c r="P6" i="37"/>
  <c r="N6" i="37"/>
  <c r="M6" i="37"/>
  <c r="L6" i="37"/>
  <c r="H6" i="37"/>
  <c r="G6" i="37"/>
  <c r="F6" i="37"/>
  <c r="T5" i="37"/>
  <c r="R5" i="37"/>
  <c r="Q5" i="37"/>
  <c r="P5" i="37"/>
  <c r="N5" i="37"/>
  <c r="M5" i="37"/>
  <c r="L5" i="37"/>
  <c r="H5" i="37"/>
  <c r="G5" i="37"/>
  <c r="F5" i="37"/>
  <c r="T4" i="37"/>
  <c r="R4" i="37"/>
  <c r="Q4" i="37"/>
  <c r="P4" i="37"/>
  <c r="N4" i="37"/>
  <c r="M4" i="37"/>
  <c r="L4" i="37"/>
  <c r="H4" i="37"/>
  <c r="G4" i="37"/>
  <c r="F4" i="37"/>
  <c r="H23" i="43"/>
  <c r="H22" i="43"/>
  <c r="H21" i="43"/>
  <c r="H18" i="43"/>
  <c r="G18" i="43"/>
  <c r="D18" i="43"/>
  <c r="H17" i="43"/>
  <c r="G17" i="43"/>
  <c r="D17" i="43"/>
  <c r="H16" i="43"/>
  <c r="G16" i="43"/>
  <c r="D16" i="43"/>
  <c r="H15" i="43"/>
  <c r="G15" i="43"/>
  <c r="D15" i="43"/>
  <c r="H14" i="43"/>
  <c r="G14" i="43"/>
  <c r="D14" i="43"/>
  <c r="H13" i="43"/>
  <c r="G13" i="43"/>
  <c r="D13" i="43"/>
  <c r="H12" i="43"/>
  <c r="G12" i="43"/>
  <c r="D12" i="43"/>
  <c r="K11" i="43"/>
  <c r="J11" i="43"/>
  <c r="H11" i="43"/>
  <c r="G11" i="43"/>
  <c r="D11" i="43"/>
  <c r="H10" i="43"/>
  <c r="G10" i="43"/>
  <c r="D10" i="43"/>
  <c r="L9" i="43"/>
  <c r="F9" i="43"/>
  <c r="E9" i="43"/>
  <c r="D9" i="43"/>
  <c r="F8" i="43"/>
  <c r="E8" i="43"/>
  <c r="D8" i="43"/>
  <c r="N7" i="43"/>
  <c r="F7" i="43"/>
  <c r="D7" i="43"/>
  <c r="N6" i="43"/>
  <c r="H6" i="43"/>
  <c r="F6" i="43"/>
  <c r="E6" i="43"/>
  <c r="D6" i="43"/>
  <c r="O5" i="43"/>
  <c r="N5" i="43"/>
  <c r="H5" i="43"/>
  <c r="F5" i="43"/>
  <c r="E5" i="43"/>
  <c r="D5" i="43"/>
  <c r="N4" i="43"/>
  <c r="J4" i="43"/>
  <c r="H4" i="43"/>
  <c r="F4" i="43"/>
  <c r="E4" i="43"/>
  <c r="D4" i="43"/>
  <c r="K11" i="45"/>
  <c r="L10" i="45"/>
  <c r="K10" i="45"/>
  <c r="J10" i="45"/>
  <c r="H10" i="45"/>
  <c r="G10" i="45"/>
  <c r="J9" i="45"/>
  <c r="I9" i="45"/>
  <c r="H9" i="45"/>
  <c r="G9" i="45"/>
  <c r="K8" i="45"/>
  <c r="J8" i="45"/>
  <c r="I8" i="45"/>
  <c r="H8" i="45"/>
  <c r="G8" i="45"/>
  <c r="J7" i="45"/>
  <c r="I7" i="45"/>
  <c r="H7" i="45"/>
  <c r="K6" i="45"/>
  <c r="J6" i="45"/>
  <c r="I6" i="45"/>
  <c r="H6" i="45"/>
  <c r="G6" i="45"/>
  <c r="L5" i="45"/>
  <c r="J5" i="45"/>
  <c r="I5" i="45"/>
  <c r="H5" i="45"/>
  <c r="G5" i="45"/>
  <c r="M25" i="46"/>
  <c r="L25" i="46"/>
  <c r="K25" i="46"/>
  <c r="J25" i="46"/>
  <c r="I25" i="46"/>
  <c r="H25" i="46"/>
  <c r="G25" i="46"/>
  <c r="F25" i="46"/>
  <c r="E25" i="46"/>
  <c r="D25" i="46"/>
  <c r="C25" i="46"/>
  <c r="B25" i="46"/>
  <c r="M24" i="46"/>
  <c r="L24" i="46"/>
  <c r="K24" i="46"/>
  <c r="J24" i="46"/>
  <c r="I24" i="46"/>
  <c r="H24" i="46"/>
  <c r="G24" i="46"/>
  <c r="F24" i="46"/>
  <c r="E24" i="46"/>
  <c r="C24" i="46"/>
  <c r="B24" i="46"/>
  <c r="M17" i="46"/>
  <c r="L17" i="46"/>
  <c r="K17" i="46"/>
  <c r="J17" i="46"/>
  <c r="I17" i="46"/>
  <c r="H17" i="46"/>
  <c r="G17" i="46"/>
  <c r="F17" i="46"/>
  <c r="E17" i="46"/>
  <c r="D17" i="46"/>
  <c r="C17" i="46"/>
  <c r="B17" i="46"/>
  <c r="M16" i="46"/>
  <c r="L16" i="46"/>
  <c r="K16" i="46"/>
  <c r="J16" i="46"/>
  <c r="I16" i="46"/>
  <c r="H16" i="46"/>
  <c r="G16" i="46"/>
  <c r="F16" i="46"/>
  <c r="E16" i="46"/>
  <c r="C16" i="46"/>
  <c r="B16" i="46"/>
  <c r="M9" i="46"/>
  <c r="M8" i="46"/>
  <c r="L8" i="46"/>
  <c r="K8" i="46"/>
  <c r="J8" i="46"/>
  <c r="I8" i="46"/>
  <c r="H8" i="46"/>
  <c r="G8" i="46"/>
  <c r="F8" i="46"/>
  <c r="E8" i="46"/>
  <c r="D8" i="46"/>
  <c r="C8" i="46"/>
  <c r="C46" i="40"/>
  <c r="C45" i="40"/>
  <c r="B45" i="40"/>
  <c r="AB17" i="40"/>
  <c r="AA17" i="40"/>
  <c r="Z17" i="40"/>
  <c r="Y17" i="40"/>
  <c r="X17" i="40"/>
  <c r="W17" i="40"/>
  <c r="V17" i="40"/>
  <c r="U17" i="40"/>
  <c r="T17" i="40"/>
  <c r="S17" i="40"/>
  <c r="R17" i="40"/>
  <c r="Q17" i="40"/>
  <c r="I17" i="40"/>
  <c r="H17" i="40"/>
  <c r="AB16" i="40"/>
  <c r="AA16" i="40"/>
  <c r="Z16" i="40"/>
  <c r="Y16" i="40"/>
  <c r="X16" i="40"/>
  <c r="W16" i="40"/>
  <c r="V16" i="40"/>
  <c r="U16" i="40"/>
  <c r="T16" i="40"/>
  <c r="S16" i="40"/>
  <c r="R16" i="40"/>
  <c r="Q16" i="40"/>
  <c r="K16" i="40"/>
  <c r="J16" i="40"/>
  <c r="I16" i="40"/>
  <c r="H16" i="40"/>
  <c r="G16" i="40"/>
  <c r="F16" i="40"/>
  <c r="E16" i="40"/>
  <c r="D16" i="40"/>
  <c r="C16" i="40"/>
  <c r="B16" i="40"/>
  <c r="V9" i="40"/>
  <c r="K9" i="40"/>
  <c r="J9" i="40"/>
  <c r="I9" i="40"/>
  <c r="H9" i="40"/>
  <c r="V8" i="40"/>
  <c r="U8" i="40"/>
  <c r="T8" i="40"/>
  <c r="S8" i="40"/>
  <c r="R8" i="40"/>
  <c r="Q8" i="40"/>
  <c r="O8" i="40"/>
  <c r="N8" i="40"/>
  <c r="M8" i="40"/>
  <c r="L8" i="40"/>
  <c r="K8" i="40"/>
  <c r="J8" i="40"/>
  <c r="I8" i="40"/>
  <c r="H8" i="40"/>
  <c r="G8" i="40"/>
  <c r="F8" i="40"/>
  <c r="E8" i="40"/>
  <c r="D8" i="40"/>
  <c r="C8" i="40"/>
  <c r="D32" i="44"/>
  <c r="C32" i="44"/>
  <c r="B32" i="44"/>
  <c r="J25" i="44"/>
  <c r="I25" i="44"/>
  <c r="H25" i="44"/>
  <c r="G25" i="44"/>
  <c r="F25" i="44"/>
  <c r="E25" i="44"/>
  <c r="D25" i="44"/>
  <c r="C25" i="44"/>
  <c r="B25" i="44"/>
  <c r="M24" i="44"/>
  <c r="L24" i="44"/>
  <c r="K24" i="44"/>
  <c r="J24" i="44"/>
  <c r="I24" i="44"/>
  <c r="H24" i="44"/>
  <c r="G24" i="44"/>
  <c r="F24" i="44"/>
  <c r="E24" i="44"/>
  <c r="D24" i="44"/>
  <c r="C24" i="44"/>
  <c r="B24" i="44"/>
  <c r="M17" i="44"/>
  <c r="L17" i="44"/>
  <c r="K17" i="44"/>
  <c r="H17" i="44"/>
  <c r="G17" i="44"/>
  <c r="C17" i="44"/>
  <c r="B17" i="44"/>
  <c r="M16" i="44"/>
  <c r="L16" i="44"/>
  <c r="K16" i="44"/>
  <c r="J16" i="44"/>
  <c r="I16" i="44"/>
  <c r="H16" i="44"/>
  <c r="G16" i="44"/>
  <c r="F16" i="44"/>
  <c r="E16" i="44"/>
  <c r="D16" i="44"/>
  <c r="C16" i="44"/>
  <c r="B16" i="44"/>
  <c r="M9" i="44"/>
  <c r="K9" i="44"/>
  <c r="J9" i="44"/>
  <c r="I9" i="44"/>
  <c r="H9" i="44"/>
  <c r="M8" i="44"/>
  <c r="L8" i="44"/>
  <c r="K8" i="44"/>
  <c r="J8" i="44"/>
  <c r="I8" i="44"/>
  <c r="H8" i="44"/>
  <c r="G8" i="44"/>
  <c r="F8" i="44"/>
  <c r="E8" i="44"/>
  <c r="D8" i="44"/>
  <c r="C8" i="44"/>
  <c r="F18" i="25"/>
  <c r="E18" i="25"/>
  <c r="C18" i="25"/>
  <c r="B18" i="25"/>
  <c r="C9" i="25"/>
  <c r="D9" i="25" s="1"/>
  <c r="E9" i="25" s="1"/>
  <c r="F9" i="25" s="1"/>
  <c r="G9" i="25" s="1"/>
  <c r="H9" i="25" s="1"/>
  <c r="I9" i="25" s="1"/>
  <c r="J9" i="25" s="1"/>
  <c r="K9" i="25" s="1"/>
  <c r="L9" i="25" s="1"/>
  <c r="M9" i="25" s="1"/>
  <c r="B17" i="25" s="1"/>
  <c r="C17" i="25" s="1"/>
  <c r="D17" i="25" s="1"/>
  <c r="E17" i="25" s="1"/>
  <c r="F17" i="25" s="1"/>
</calcChain>
</file>

<file path=xl/sharedStrings.xml><?xml version="1.0" encoding="utf-8"?>
<sst xmlns="http://schemas.openxmlformats.org/spreadsheetml/2006/main" count="823" uniqueCount="370">
  <si>
    <t>工程数量汇总表</t>
  </si>
  <si>
    <t>第 1 页，共 1 页</t>
  </si>
  <si>
    <t>序号</t>
  </si>
  <si>
    <t>结构物</t>
  </si>
  <si>
    <t>桩 号</t>
  </si>
  <si>
    <t>孔数
跨径</t>
  </si>
  <si>
    <t>全长</t>
  </si>
  <si>
    <t>总宽</t>
  </si>
  <si>
    <t>结构类型</t>
  </si>
  <si>
    <t>基础</t>
  </si>
  <si>
    <t>预制板</t>
  </si>
  <si>
    <t>C30混凝土</t>
  </si>
  <si>
    <t>挖土方</t>
  </si>
  <si>
    <t>挖土方（次坚石）</t>
  </si>
  <si>
    <t>HPB300</t>
  </si>
  <si>
    <t>HRB400</t>
  </si>
  <si>
    <t>（孔×米）</t>
  </si>
  <si>
    <t>（m）</t>
  </si>
  <si>
    <r>
      <rPr>
        <sz val="10"/>
        <rFont val="仿宋_GB2312"/>
        <charset val="134"/>
      </rPr>
      <t>(m</t>
    </r>
    <r>
      <rPr>
        <vertAlign val="superscript"/>
        <sz val="10"/>
        <rFont val="仿宋_GB2312"/>
        <charset val="134"/>
      </rPr>
      <t>3</t>
    </r>
    <r>
      <rPr>
        <sz val="10"/>
        <rFont val="仿宋_GB2312"/>
        <charset val="134"/>
      </rPr>
      <t>)</t>
    </r>
  </si>
  <si>
    <t>(kg)</t>
  </si>
  <si>
    <t>人行预制板</t>
  </si>
  <si>
    <t>1×6</t>
  </si>
  <si>
    <t>钢筋混凝土预制板</t>
  </si>
  <si>
    <t>墩帽</t>
  </si>
  <si>
    <t>墩身</t>
  </si>
  <si>
    <t>响水河桥维修工程</t>
  </si>
  <si>
    <t>桥名</t>
  </si>
  <si>
    <t>桥梁全长</t>
  </si>
  <si>
    <t>桥面总宽</t>
  </si>
  <si>
    <t>裂缝处理</t>
  </si>
  <si>
    <t>全桥混凝土剥落露筋锈蚀修复</t>
  </si>
  <si>
    <t>表面封闭</t>
  </si>
  <si>
    <t>压力灌浆</t>
  </si>
  <si>
    <t>凿除松散混凝土</t>
  </si>
  <si>
    <t>钢筋除锈</t>
  </si>
  <si>
    <t>环氧砂浆修补</t>
  </si>
  <si>
    <t>外涂型钢筋阻锈剂</t>
  </si>
  <si>
    <t>缝宽&lt;0.15mm</t>
  </si>
  <si>
    <t>缝宽≥0.15mm</t>
  </si>
  <si>
    <t>(m)</t>
  </si>
  <si>
    <r>
      <rPr>
        <sz val="10"/>
        <rFont val="仿宋_GB2312"/>
        <charset val="134"/>
      </rPr>
      <t>(m</t>
    </r>
    <r>
      <rPr>
        <vertAlign val="superscript"/>
        <sz val="11"/>
        <color indexed="8"/>
        <rFont val="仿宋_GB2312"/>
        <charset val="134"/>
      </rPr>
      <t>2</t>
    </r>
    <r>
      <rPr>
        <sz val="11"/>
        <color indexed="8"/>
        <rFont val="仿宋_GB2312"/>
        <charset val="134"/>
      </rPr>
      <t>)</t>
    </r>
  </si>
  <si>
    <r>
      <rPr>
        <sz val="10"/>
        <rFont val="仿宋_GB2312"/>
        <charset val="134"/>
      </rPr>
      <t>(m</t>
    </r>
    <r>
      <rPr>
        <vertAlign val="superscript"/>
        <sz val="10"/>
        <color indexed="8"/>
        <rFont val="仿宋_GB2312"/>
        <charset val="134"/>
      </rPr>
      <t>2.</t>
    </r>
    <r>
      <rPr>
        <sz val="10"/>
        <color indexed="8"/>
        <rFont val="仿宋_GB2312"/>
        <charset val="134"/>
      </rPr>
      <t>/m</t>
    </r>
    <r>
      <rPr>
        <vertAlign val="superscript"/>
        <sz val="10"/>
        <color indexed="8"/>
        <rFont val="仿宋_GB2312"/>
        <charset val="134"/>
      </rPr>
      <t>3</t>
    </r>
    <r>
      <rPr>
        <sz val="10"/>
        <color indexed="8"/>
        <rFont val="仿宋_GB2312"/>
        <charset val="134"/>
      </rPr>
      <t>)</t>
    </r>
  </si>
  <si>
    <t>响水河桥</t>
  </si>
  <si>
    <t>/</t>
  </si>
  <si>
    <t>3×20</t>
  </si>
  <si>
    <t>预应力砼连续T梁</t>
  </si>
  <si>
    <t>8.8/0.3</t>
  </si>
  <si>
    <t>T梁翼板端部修复</t>
  </si>
  <si>
    <t>支座</t>
  </si>
  <si>
    <t>T梁碳纤维板加固</t>
  </si>
  <si>
    <t>破损凿除</t>
  </si>
  <si>
    <t>环氧混凝土修补</t>
  </si>
  <si>
    <t>普通钢筋</t>
  </si>
  <si>
    <t>顶升梁跨</t>
  </si>
  <si>
    <t>钢板锈蚀处理</t>
  </si>
  <si>
    <t>更换支座</t>
  </si>
  <si>
    <t>支座维修</t>
  </si>
  <si>
    <t>预应力碳纤维板</t>
  </si>
  <si>
    <t>预应力碳板锚具（含固定端张拉端锚具、张拉杆、M20化学螺栓等）</t>
  </si>
  <si>
    <t>碳板胶</t>
  </si>
  <si>
    <t xml:space="preserve">钢筋砼 </t>
  </si>
  <si>
    <t xml:space="preserve">C50环氧砼 </t>
  </si>
  <si>
    <t>HPB400钢筋</t>
  </si>
  <si>
    <t>除锈</t>
  </si>
  <si>
    <t>阻锈剂</t>
  </si>
  <si>
    <t>防腐涂装</t>
  </si>
  <si>
    <t>GBZJ300×400×52</t>
  </si>
  <si>
    <t>垫楔形钢板</t>
  </si>
  <si>
    <t>350mm×450mm</t>
  </si>
  <si>
    <t>(kg）</t>
  </si>
  <si>
    <r>
      <rPr>
        <sz val="10"/>
        <rFont val="仿宋_GB2312"/>
        <charset val="134"/>
      </rPr>
      <t>(跨</t>
    </r>
    <r>
      <rPr>
        <sz val="11"/>
        <color indexed="8"/>
        <rFont val="仿宋_GB2312"/>
        <charset val="134"/>
      </rPr>
      <t>)</t>
    </r>
  </si>
  <si>
    <r>
      <rPr>
        <sz val="11"/>
        <rFont val="仿宋_GB2312"/>
        <charset val="134"/>
      </rPr>
      <t>(m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/处)</t>
    </r>
  </si>
  <si>
    <t>(个)</t>
  </si>
  <si>
    <t>（块）</t>
  </si>
  <si>
    <r>
      <rPr>
        <sz val="11"/>
        <rFont val="仿宋_GB2312"/>
        <charset val="134"/>
      </rPr>
      <t>(m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)</t>
    </r>
  </si>
  <si>
    <t>(套)</t>
  </si>
  <si>
    <t>11.5/96</t>
  </si>
  <si>
    <t>桥面铺装</t>
  </si>
  <si>
    <t>伸缩缝</t>
  </si>
  <si>
    <t>限位装置
（含压紧条、M10*130化学螺栓）</t>
  </si>
  <si>
    <t>植筋孔</t>
  </si>
  <si>
    <t>原铺装凿除</t>
  </si>
  <si>
    <t>重做沥青桥面铺装</t>
  </si>
  <si>
    <t>原伸缩缝拆除</t>
  </si>
  <si>
    <t>型号</t>
  </si>
  <si>
    <t>长度</t>
  </si>
  <si>
    <t>φ25×170</t>
  </si>
  <si>
    <t>φ12×90</t>
  </si>
  <si>
    <t>沥青层</t>
  </si>
  <si>
    <t>SBS高聚物改性乳化沥青防水涂料</t>
  </si>
  <si>
    <t>SBS改性沥青防水粘层</t>
  </si>
  <si>
    <t>AC-20C改性沥青混凝土</t>
  </si>
  <si>
    <t>AC-13C改性沥青混凝土</t>
  </si>
  <si>
    <t>混凝土凿除</t>
  </si>
  <si>
    <t>E40伸缩缝拆除</t>
  </si>
  <si>
    <t>(孔)</t>
  </si>
  <si>
    <r>
      <rPr>
        <sz val="10"/>
        <rFont val="仿宋_GB2312"/>
        <charset val="134"/>
      </rPr>
      <t>(m</t>
    </r>
    <r>
      <rPr>
        <vertAlign val="superscript"/>
        <sz val="10"/>
        <rFont val="仿宋_GB2312"/>
        <charset val="134"/>
      </rPr>
      <t>3</t>
    </r>
    <r>
      <rPr>
        <sz val="11"/>
        <color indexed="8"/>
        <rFont val="仿宋_GB2312"/>
        <charset val="134"/>
      </rPr>
      <t>)</t>
    </r>
  </si>
  <si>
    <r>
      <rPr>
        <sz val="11"/>
        <rFont val="仿宋_GB2312"/>
        <charset val="134"/>
      </rPr>
      <t>(m</t>
    </r>
    <r>
      <rPr>
        <vertAlign val="superscript"/>
        <sz val="11"/>
        <rFont val="仿宋_GB2312"/>
        <charset val="134"/>
      </rPr>
      <t>3</t>
    </r>
    <r>
      <rPr>
        <sz val="11"/>
        <rFont val="仿宋_GB2312"/>
        <charset val="134"/>
      </rPr>
      <t>)</t>
    </r>
  </si>
  <si>
    <r>
      <rPr>
        <sz val="11"/>
        <rFont val="仿宋_GB2312"/>
        <charset val="134"/>
      </rPr>
      <t>(m</t>
    </r>
    <r>
      <rPr>
        <vertAlign val="superscript"/>
        <sz val="11"/>
        <rFont val="仿宋_GB2312"/>
        <charset val="134"/>
      </rPr>
      <t>3</t>
    </r>
    <r>
      <rPr>
        <sz val="11"/>
        <color indexed="8"/>
        <rFont val="仿宋_GB2312"/>
        <charset val="134"/>
      </rPr>
      <t>)</t>
    </r>
  </si>
  <si>
    <r>
      <rPr>
        <sz val="10"/>
        <rFont val="仿宋_GB2312"/>
        <charset val="134"/>
      </rPr>
      <t>(m/道</t>
    </r>
    <r>
      <rPr>
        <sz val="11"/>
        <color indexed="8"/>
        <rFont val="仿宋_GB2312"/>
        <charset val="134"/>
      </rPr>
      <t>)</t>
    </r>
  </si>
  <si>
    <t>（/）</t>
  </si>
  <si>
    <t>80/2</t>
  </si>
  <si>
    <t>GQF-E40</t>
  </si>
  <si>
    <t>人行道</t>
  </si>
  <si>
    <t>现浇C50防水砼</t>
  </si>
  <si>
    <t>地砖</t>
  </si>
  <si>
    <t>HPB300钢筋</t>
  </si>
  <si>
    <t>编制：</t>
  </si>
  <si>
    <t>复核：</t>
  </si>
  <si>
    <t>思光立交桥改造工程</t>
  </si>
  <si>
    <t>第 1 页 共 1 页</t>
  </si>
  <si>
    <t>防撞墙</t>
  </si>
  <si>
    <t>植筋</t>
  </si>
  <si>
    <t>排水系统</t>
  </si>
  <si>
    <t>恢复桥面铺装C40砼</t>
  </si>
  <si>
    <t>现浇C30砼</t>
  </si>
  <si>
    <t>钻孔（直径2.0cm）</t>
  </si>
  <si>
    <t>环氧砂浆</t>
  </si>
  <si>
    <t>膨胀螺丝</t>
  </si>
  <si>
    <t>熟铁定位箍（3×20×58）</t>
  </si>
  <si>
    <t>HRB300</t>
  </si>
  <si>
    <t>个</t>
  </si>
  <si>
    <r>
      <rPr>
        <sz val="11"/>
        <rFont val="仿宋_GB2312"/>
        <charset val="134"/>
      </rPr>
      <t>(m</t>
    </r>
    <r>
      <rPr>
        <vertAlign val="superscript"/>
        <sz val="11"/>
        <color indexed="8"/>
        <rFont val="仿宋_GB2312"/>
        <charset val="134"/>
      </rPr>
      <t>2</t>
    </r>
    <r>
      <rPr>
        <sz val="11"/>
        <color indexed="8"/>
        <rFont val="仿宋_GB2312"/>
        <charset val="134"/>
      </rPr>
      <t>)</t>
    </r>
  </si>
  <si>
    <r>
      <rPr>
        <sz val="11"/>
        <rFont val="仿宋_GB2312"/>
        <charset val="134"/>
      </rPr>
      <t>(m</t>
    </r>
    <r>
      <rPr>
        <vertAlign val="superscript"/>
        <sz val="11"/>
        <color indexed="8"/>
        <rFont val="仿宋_GB2312"/>
        <charset val="134"/>
      </rPr>
      <t>2.</t>
    </r>
    <r>
      <rPr>
        <sz val="11"/>
        <color indexed="8"/>
        <rFont val="仿宋_GB2312"/>
        <charset val="134"/>
      </rPr>
      <t>/m</t>
    </r>
    <r>
      <rPr>
        <vertAlign val="superscript"/>
        <sz val="11"/>
        <color indexed="8"/>
        <rFont val="仿宋_GB2312"/>
        <charset val="134"/>
      </rPr>
      <t>3</t>
    </r>
    <r>
      <rPr>
        <sz val="11"/>
        <color indexed="8"/>
        <rFont val="仿宋_GB2312"/>
        <charset val="134"/>
      </rPr>
      <t>)</t>
    </r>
  </si>
  <si>
    <t>思光立交桥</t>
  </si>
  <si>
    <t>K1939+044</t>
  </si>
  <si>
    <t>1×8+1×13+1×8</t>
  </si>
  <si>
    <t>混凝土空心板</t>
  </si>
  <si>
    <t>0.1/0.01</t>
  </si>
  <si>
    <t>旧桥拆除</t>
  </si>
  <si>
    <t>交通管制牌</t>
  </si>
  <si>
    <t>T梁贴钢板加固</t>
  </si>
  <si>
    <r>
      <rPr>
        <sz val="11"/>
        <rFont val="仿宋_GB2312"/>
        <charset val="134"/>
      </rPr>
      <t>PVC塑料泄水管（</t>
    </r>
    <r>
      <rPr>
        <sz val="11"/>
        <rFont val="SJQY"/>
        <charset val="134"/>
      </rPr>
      <t>A</t>
    </r>
    <r>
      <rPr>
        <sz val="11"/>
        <rFont val="仿宋_GB2312"/>
        <charset val="134"/>
      </rPr>
      <t>114×7）</t>
    </r>
  </si>
  <si>
    <t>PVC塑料平面三通</t>
  </si>
  <si>
    <t>PVC塑料弯头</t>
  </si>
  <si>
    <t>C25混凝土</t>
  </si>
  <si>
    <t>M15砂浆</t>
  </si>
  <si>
    <t>铸铁管</t>
  </si>
  <si>
    <t>旧护栏混凝土</t>
  </si>
  <si>
    <t>旧护栏基座混凝土</t>
  </si>
  <si>
    <t>警示标志牌</t>
  </si>
  <si>
    <t>10km/h限速标志牌</t>
  </si>
  <si>
    <t>Q345C钢板
δ=8mm</t>
  </si>
  <si>
    <t>Q345C钢板
δ=6mm</t>
  </si>
  <si>
    <t>5.8级M12螺栓</t>
  </si>
  <si>
    <t>植筋胶</t>
  </si>
  <si>
    <t>封面封口胶</t>
  </si>
  <si>
    <t>结构灌注胶</t>
  </si>
  <si>
    <t>砼表面凿毛</t>
  </si>
  <si>
    <r>
      <rPr>
        <sz val="11"/>
        <rFont val="仿宋_GB2312"/>
        <charset val="134"/>
      </rPr>
      <t>植筋钻孔数
（</t>
    </r>
    <r>
      <rPr>
        <sz val="11"/>
        <rFont val="SJQY"/>
        <charset val="134"/>
      </rPr>
      <t>A</t>
    </r>
    <r>
      <rPr>
        <sz val="11"/>
        <rFont val="仿宋_GB2312"/>
        <charset val="134"/>
      </rPr>
      <t>15）</t>
    </r>
  </si>
  <si>
    <t>注胶嘴</t>
  </si>
  <si>
    <r>
      <rPr>
        <sz val="11"/>
        <rFont val="SJQY"/>
        <charset val="134"/>
      </rPr>
      <t>A</t>
    </r>
    <r>
      <rPr>
        <sz val="11"/>
        <rFont val="仿宋_GB2312"/>
        <charset val="134"/>
      </rPr>
      <t>12螺母及垫圈</t>
    </r>
  </si>
  <si>
    <t>垫片</t>
  </si>
  <si>
    <t>套</t>
  </si>
  <si>
    <r>
      <rPr>
        <sz val="11"/>
        <rFont val="仿宋_GB2312"/>
        <charset val="134"/>
      </rPr>
      <t>(kg</t>
    </r>
    <r>
      <rPr>
        <sz val="11"/>
        <color indexed="8"/>
        <rFont val="仿宋_GB2312"/>
        <charset val="134"/>
      </rPr>
      <t>)</t>
    </r>
  </si>
  <si>
    <t>（升）</t>
  </si>
  <si>
    <t>（m)</t>
  </si>
  <si>
    <t>(个）</t>
  </si>
  <si>
    <t>（套）</t>
  </si>
  <si>
    <t>（个）</t>
  </si>
  <si>
    <t>4</t>
  </si>
  <si>
    <t>护坡裂缝处理</t>
  </si>
  <si>
    <t>明渠桥维修加固工程</t>
  </si>
  <si>
    <t>明渠桥</t>
  </si>
  <si>
    <t>1×22.2</t>
  </si>
  <si>
    <t>钢筋混凝土简支T梁</t>
  </si>
  <si>
    <t>5.8级M12螺栓
L=170mm</t>
  </si>
  <si>
    <r>
      <rPr>
        <sz val="11"/>
        <rFont val="SJQY"/>
        <charset val="134"/>
      </rPr>
      <t>A</t>
    </r>
    <r>
      <rPr>
        <sz val="11"/>
        <rFont val="仿宋_GB2312"/>
        <charset val="134"/>
      </rPr>
      <t>12螺母及垫圈、垫片</t>
    </r>
  </si>
  <si>
    <t>5.8级M12螺栓
L=350mm</t>
  </si>
  <si>
    <t>钢筋编号</t>
  </si>
  <si>
    <t>规格(mm)</t>
  </si>
  <si>
    <t>单根长度
(cm)</t>
  </si>
  <si>
    <t>根数</t>
  </si>
  <si>
    <t>共长
(m)</t>
  </si>
  <si>
    <t>单位重
(kg/m)</t>
  </si>
  <si>
    <t>共重(kg)</t>
  </si>
  <si>
    <t>合计
(kg)</t>
  </si>
  <si>
    <r>
      <rPr>
        <sz val="12"/>
        <rFont val="仿宋_GB2312"/>
        <charset val="134"/>
      </rPr>
      <t>C50砼
(m</t>
    </r>
    <r>
      <rPr>
        <vertAlign val="superscript"/>
        <sz val="12"/>
        <rFont val="仿宋_GB2312"/>
        <charset val="134"/>
      </rPr>
      <t>3</t>
    </r>
    <r>
      <rPr>
        <sz val="12"/>
        <rFont val="仿宋_GB2312"/>
        <charset val="134"/>
      </rPr>
      <t>)</t>
    </r>
  </si>
  <si>
    <r>
      <rPr>
        <sz val="12"/>
        <rFont val="SJQY"/>
        <charset val="134"/>
      </rPr>
      <t>C</t>
    </r>
    <r>
      <rPr>
        <sz val="12"/>
        <rFont val="仿宋_GB2312"/>
        <charset val="134"/>
      </rPr>
      <t>20</t>
    </r>
  </si>
  <si>
    <r>
      <rPr>
        <sz val="12"/>
        <rFont val="SJQY"/>
        <charset val="134"/>
      </rPr>
      <t>C</t>
    </r>
    <r>
      <rPr>
        <sz val="12"/>
        <rFont val="仿宋_GB2312"/>
        <charset val="134"/>
      </rPr>
      <t>20：</t>
    </r>
  </si>
  <si>
    <r>
      <rPr>
        <sz val="12"/>
        <rFont val="SJQY"/>
        <charset val="134"/>
      </rPr>
      <t>C</t>
    </r>
    <r>
      <rPr>
        <sz val="12"/>
        <rFont val="仿宋_GB2312"/>
        <charset val="134"/>
      </rPr>
      <t>16</t>
    </r>
  </si>
  <si>
    <r>
      <rPr>
        <sz val="12"/>
        <rFont val="SJQY"/>
        <charset val="134"/>
      </rPr>
      <t>C</t>
    </r>
    <r>
      <rPr>
        <sz val="12"/>
        <rFont val="仿宋_GB2312"/>
        <charset val="134"/>
      </rPr>
      <t>16：</t>
    </r>
  </si>
  <si>
    <r>
      <rPr>
        <sz val="12"/>
        <rFont val="SJQY"/>
        <charset val="134"/>
      </rPr>
      <t>C</t>
    </r>
    <r>
      <rPr>
        <sz val="12"/>
        <rFont val="仿宋_GB2312"/>
        <charset val="134"/>
      </rPr>
      <t>12</t>
    </r>
  </si>
  <si>
    <r>
      <rPr>
        <sz val="12"/>
        <rFont val="仿宋_GB2312"/>
        <charset val="134"/>
      </rPr>
      <t>凿旧砼(m</t>
    </r>
    <r>
      <rPr>
        <vertAlign val="superscript"/>
        <sz val="12"/>
        <rFont val="仿宋_GB2312"/>
        <charset val="134"/>
      </rPr>
      <t>3</t>
    </r>
    <r>
      <rPr>
        <sz val="12"/>
        <rFont val="仿宋_GB2312"/>
        <charset val="134"/>
      </rPr>
      <t>)</t>
    </r>
  </si>
  <si>
    <r>
      <rPr>
        <sz val="12"/>
        <rFont val="SJQY"/>
        <charset val="134"/>
      </rPr>
      <t>C</t>
    </r>
    <r>
      <rPr>
        <sz val="12"/>
        <rFont val="仿宋_GB2312"/>
        <charset val="134"/>
      </rPr>
      <t>12：</t>
    </r>
  </si>
  <si>
    <r>
      <rPr>
        <sz val="12"/>
        <rFont val="仿宋_GB2312"/>
        <charset val="134"/>
      </rPr>
      <t>钻孔（</t>
    </r>
    <r>
      <rPr>
        <sz val="12"/>
        <rFont val="SJQY"/>
        <charset val="134"/>
      </rPr>
      <t>A</t>
    </r>
    <r>
      <rPr>
        <sz val="12"/>
        <rFont val="仿宋_GB2312"/>
        <charset val="134"/>
      </rPr>
      <t>25，深25cm）：1200个</t>
    </r>
  </si>
  <si>
    <r>
      <rPr>
        <sz val="12"/>
        <rFont val="仿宋_GB2312"/>
        <charset val="134"/>
      </rPr>
      <t>钻孔（</t>
    </r>
    <r>
      <rPr>
        <sz val="12"/>
        <rFont val="SJQY"/>
        <charset val="134"/>
      </rPr>
      <t>A</t>
    </r>
    <r>
      <rPr>
        <sz val="12"/>
        <rFont val="仿宋_GB2312"/>
        <charset val="134"/>
      </rPr>
      <t>25，深12cm）：1200个</t>
    </r>
  </si>
  <si>
    <t>植筋胶：</t>
  </si>
  <si>
    <t>钢板加固工程数量表</t>
  </si>
  <si>
    <t>8mm</t>
  </si>
  <si>
    <t>6mm</t>
  </si>
  <si>
    <t>面积</t>
  </si>
  <si>
    <t>编号</t>
  </si>
  <si>
    <t>项目名称</t>
  </si>
  <si>
    <t>规格</t>
  </si>
  <si>
    <t>单个质量</t>
  </si>
  <si>
    <t>全桥数目</t>
  </si>
  <si>
    <t>总质量</t>
  </si>
  <si>
    <t>(mm)</t>
  </si>
  <si>
    <t>钢板N1（Q345C 16Mn钢板）</t>
  </si>
  <si>
    <t>□21300×260×8</t>
  </si>
  <si>
    <t>钢板N2（Q345C 16Mn钢板）</t>
  </si>
  <si>
    <t>□2588×300×6</t>
  </si>
  <si>
    <t>钢板N3（Q345C 16Mn钢板）</t>
  </si>
  <si>
    <t>□2400×200×6</t>
  </si>
  <si>
    <t>钢板N4（Q345C 16Mn钢板）</t>
  </si>
  <si>
    <t>□1128×300×6</t>
  </si>
  <si>
    <t>N5(5.8级M12螺栓)</t>
  </si>
  <si>
    <t>L=170mm</t>
  </si>
  <si>
    <t>N6(5.8级M12螺栓)</t>
  </si>
  <si>
    <t>L=350mm</t>
  </si>
  <si>
    <t>植筋根数</t>
  </si>
  <si>
    <t>植筋胶（升）</t>
  </si>
  <si>
    <t>---</t>
  </si>
  <si>
    <t>封面封口胶（m)</t>
  </si>
  <si>
    <t>结构灌注胶（升）</t>
  </si>
  <si>
    <r>
      <rPr>
        <sz val="12"/>
        <rFont val="仿宋_GB2312"/>
        <charset val="134"/>
      </rPr>
      <t>砼表面凿毛(m</t>
    </r>
    <r>
      <rPr>
        <vertAlign val="superscript"/>
        <sz val="12"/>
        <rFont val="仿宋_GB2312"/>
        <charset val="134"/>
      </rPr>
      <t>2</t>
    </r>
    <r>
      <rPr>
        <sz val="12"/>
        <rFont val="仿宋_GB2312"/>
        <charset val="134"/>
      </rPr>
      <t>)</t>
    </r>
  </si>
  <si>
    <t>植筋钻孔数(个）</t>
  </si>
  <si>
    <r>
      <rPr>
        <sz val="12"/>
        <rFont val="SJQY"/>
        <charset val="134"/>
      </rPr>
      <t>A</t>
    </r>
    <r>
      <rPr>
        <sz val="12"/>
        <rFont val="仿宋_GB2312"/>
        <charset val="134"/>
      </rPr>
      <t>15</t>
    </r>
  </si>
  <si>
    <t>注胶嘴（套）</t>
  </si>
  <si>
    <r>
      <rPr>
        <sz val="12"/>
        <rFont val="SJQY"/>
        <charset val="134"/>
      </rPr>
      <t>A</t>
    </r>
    <r>
      <rPr>
        <sz val="12"/>
        <rFont val="仿宋_GB2312"/>
        <charset val="134"/>
      </rPr>
      <t>12螺母及垫圈（套）</t>
    </r>
  </si>
  <si>
    <t>垫片（个）</t>
  </si>
  <si>
    <t>环形，厚3mm</t>
  </si>
  <si>
    <r>
      <rPr>
        <sz val="12"/>
        <rFont val="仿宋_GB2312"/>
        <charset val="134"/>
      </rPr>
      <t>防腐涂装(m</t>
    </r>
    <r>
      <rPr>
        <vertAlign val="superscript"/>
        <sz val="12"/>
        <rFont val="仿宋_GB2312"/>
        <charset val="134"/>
      </rPr>
      <t>2</t>
    </r>
    <r>
      <rPr>
        <sz val="12"/>
        <rFont val="仿宋_GB2312"/>
        <charset val="134"/>
      </rPr>
      <t>)</t>
    </r>
  </si>
  <si>
    <t>钢板合计</t>
  </si>
  <si>
    <t>承重构件</t>
  </si>
  <si>
    <t>裂缝类型</t>
  </si>
  <si>
    <r>
      <rPr>
        <sz val="10.5"/>
        <color theme="1"/>
        <rFont val="宋体"/>
        <charset val="134"/>
      </rPr>
      <t>最大缝宽小于</t>
    </r>
    <r>
      <rPr>
        <sz val="10.5"/>
        <color theme="1"/>
        <rFont val="Times New Roman"/>
        <family val="1"/>
      </rPr>
      <t>0.15mm</t>
    </r>
  </si>
  <si>
    <r>
      <rPr>
        <sz val="10.5"/>
        <color theme="1"/>
        <rFont val="宋体"/>
        <charset val="134"/>
      </rPr>
      <t>最大缝宽不小于</t>
    </r>
    <r>
      <rPr>
        <sz val="10.5"/>
        <color theme="1"/>
        <rFont val="Times New Roman"/>
        <family val="1"/>
      </rPr>
      <t>0.15mm</t>
    </r>
  </si>
  <si>
    <t>超限宽</t>
  </si>
  <si>
    <t>总计</t>
  </si>
  <si>
    <t>裂缝</t>
  </si>
  <si>
    <r>
      <rPr>
        <sz val="10.5"/>
        <color theme="1"/>
        <rFont val="宋体"/>
        <charset val="134"/>
      </rPr>
      <t>长度合计（</t>
    </r>
    <r>
      <rPr>
        <sz val="10.5"/>
        <color theme="1"/>
        <rFont val="Times New Roman"/>
        <family val="1"/>
      </rPr>
      <t>m</t>
    </r>
    <r>
      <rPr>
        <sz val="10.5"/>
        <color theme="1"/>
        <rFont val="宋体"/>
        <charset val="134"/>
      </rPr>
      <t>）或总面积（</t>
    </r>
    <r>
      <rPr>
        <sz val="10.5"/>
        <color theme="1"/>
        <rFont val="Times New Roman"/>
        <family val="1"/>
      </rPr>
      <t>m</t>
    </r>
    <r>
      <rPr>
        <sz val="10.5"/>
        <color theme="1"/>
        <rFont val="宋体"/>
        <charset val="134"/>
      </rPr>
      <t>²）</t>
    </r>
  </si>
  <si>
    <r>
      <rPr>
        <sz val="10.5"/>
        <color theme="1"/>
        <rFont val="宋体"/>
        <charset val="134"/>
      </rPr>
      <t>长度合计（</t>
    </r>
    <r>
      <rPr>
        <sz val="10.5"/>
        <color theme="1"/>
        <rFont val="Times New Roman"/>
        <family val="1"/>
      </rPr>
      <t>m</t>
    </r>
    <r>
      <rPr>
        <sz val="10.5"/>
        <color theme="1"/>
        <rFont val="宋体"/>
        <charset val="134"/>
      </rPr>
      <t>）</t>
    </r>
  </si>
  <si>
    <r>
      <rPr>
        <sz val="10.5"/>
        <color theme="1"/>
        <rFont val="宋体"/>
        <charset val="134"/>
      </rPr>
      <t>总计长度（</t>
    </r>
    <r>
      <rPr>
        <sz val="10.5"/>
        <color theme="1"/>
        <rFont val="Times New Roman"/>
        <family val="1"/>
      </rPr>
      <t>m</t>
    </r>
    <r>
      <rPr>
        <sz val="10.5"/>
        <color theme="1"/>
        <rFont val="宋体"/>
        <charset val="134"/>
      </rPr>
      <t>）或总面积（</t>
    </r>
    <r>
      <rPr>
        <sz val="10.5"/>
        <color theme="1"/>
        <rFont val="Times New Roman"/>
        <family val="1"/>
      </rPr>
      <t>m</t>
    </r>
    <r>
      <rPr>
        <sz val="10.5"/>
        <color theme="1"/>
        <rFont val="宋体"/>
        <charset val="134"/>
      </rPr>
      <t>²）</t>
    </r>
  </si>
  <si>
    <t>数量</t>
  </si>
  <si>
    <r>
      <rPr>
        <sz val="10.5"/>
        <color theme="1"/>
        <rFont val="Times New Roman"/>
        <family val="1"/>
      </rPr>
      <t>T</t>
    </r>
    <r>
      <rPr>
        <sz val="10.5"/>
        <color theme="1"/>
        <rFont val="宋体"/>
        <charset val="134"/>
      </rPr>
      <t>梁</t>
    </r>
  </si>
  <si>
    <t>竖向裂缝</t>
  </si>
  <si>
    <t>纵向裂缝</t>
  </si>
  <si>
    <t>斜向裂缝</t>
  </si>
  <si>
    <t>桥台侧墙</t>
  </si>
  <si>
    <t>桥台前墙</t>
  </si>
  <si>
    <t>横向裂缝</t>
  </si>
  <si>
    <t>网状裂缝</t>
  </si>
  <si>
    <t>加固工程数量表</t>
  </si>
  <si>
    <t>单位</t>
  </si>
  <si>
    <t>数   量</t>
  </si>
  <si>
    <t>单个</t>
  </si>
  <si>
    <t>全桥</t>
  </si>
  <si>
    <t>周长</t>
  </si>
  <si>
    <t>注浆孔</t>
  </si>
  <si>
    <t>□850×810×8</t>
  </si>
  <si>
    <t>kg</t>
  </si>
  <si>
    <t>□850×760×8</t>
  </si>
  <si>
    <t>□650×810×8</t>
  </si>
  <si>
    <t>□650×760×8</t>
  </si>
  <si>
    <t>钢板N5（Q345C 16Mn钢板）</t>
  </si>
  <si>
    <t>□750×700×8</t>
  </si>
  <si>
    <t>钢板N6（Q345C 16Mn钢板）</t>
  </si>
  <si>
    <t>□700×610×8</t>
  </si>
  <si>
    <t>N7(5.8级M12螺栓)</t>
  </si>
  <si>
    <t>L=120mm</t>
  </si>
  <si>
    <t>升</t>
  </si>
  <si>
    <t>m</t>
  </si>
  <si>
    <r>
      <rPr>
        <sz val="12"/>
        <rFont val="仿宋_GB2312"/>
        <charset val="134"/>
      </rPr>
      <t>m</t>
    </r>
    <r>
      <rPr>
        <vertAlign val="superscript"/>
        <sz val="12"/>
        <rFont val="仿宋_GB2312"/>
        <charset val="134"/>
      </rPr>
      <t>2</t>
    </r>
  </si>
  <si>
    <t>植筋钻孔数</t>
  </si>
  <si>
    <t>15</t>
  </si>
  <si>
    <r>
      <rPr>
        <sz val="12"/>
        <rFont val="SJQY"/>
        <charset val="134"/>
      </rPr>
      <t>A</t>
    </r>
    <r>
      <rPr>
        <sz val="12"/>
        <rFont val="仿宋_GB2312"/>
        <charset val="134"/>
      </rPr>
      <t>12螺母及垫圈</t>
    </r>
  </si>
  <si>
    <t>□850×810×6</t>
  </si>
  <si>
    <t>□850×760×6</t>
  </si>
  <si>
    <t>□650×810×6</t>
  </si>
  <si>
    <t>□650×760×6</t>
  </si>
  <si>
    <t>□750×700×6</t>
  </si>
  <si>
    <t>□700×610×6</t>
  </si>
  <si>
    <t>列宽</t>
  </si>
  <si>
    <t>列数</t>
  </si>
  <si>
    <t>拱箱加固工程数量表</t>
  </si>
  <si>
    <t>材料</t>
  </si>
  <si>
    <t>耐久型微膨胀快速修复混凝土</t>
  </si>
  <si>
    <r>
      <rPr>
        <sz val="10"/>
        <rFont val="仿宋_GB2312"/>
        <charset val="134"/>
      </rPr>
      <t>m</t>
    </r>
    <r>
      <rPr>
        <vertAlign val="superscript"/>
        <sz val="10"/>
        <rFont val="仿宋_GB2312"/>
        <charset val="134"/>
      </rPr>
      <t>3</t>
    </r>
  </si>
  <si>
    <t>宽</t>
  </si>
  <si>
    <t>超高韧性水泥基复合材料(ECC)</t>
  </si>
  <si>
    <t>碳纤维编织网（网格20mm×20mm）</t>
  </si>
  <si>
    <r>
      <rPr>
        <sz val="10"/>
        <rFont val="仿宋_GB2312"/>
        <charset val="134"/>
      </rPr>
      <t>m</t>
    </r>
    <r>
      <rPr>
        <vertAlign val="superscript"/>
        <sz val="10"/>
        <rFont val="仿宋_GB2312"/>
        <charset val="134"/>
      </rPr>
      <t>2</t>
    </r>
  </si>
  <si>
    <t>固定钉（Φ10）</t>
  </si>
  <si>
    <t>行高</t>
  </si>
  <si>
    <t>喷涂界面剂</t>
  </si>
  <si>
    <t>构件</t>
  </si>
  <si>
    <t>病害类型</t>
  </si>
  <si>
    <t>病害数量</t>
  </si>
  <si>
    <r>
      <rPr>
        <sz val="10.5"/>
        <color theme="1"/>
        <rFont val="宋体"/>
        <charset val="134"/>
      </rPr>
      <t>总长度（</t>
    </r>
    <r>
      <rPr>
        <sz val="10.5"/>
        <color theme="1"/>
        <rFont val="Times New Roman"/>
        <family val="1"/>
      </rPr>
      <t>m</t>
    </r>
    <r>
      <rPr>
        <sz val="10.5"/>
        <color theme="1"/>
        <rFont val="宋体"/>
        <charset val="134"/>
      </rPr>
      <t>）或总面积（</t>
    </r>
    <r>
      <rPr>
        <sz val="10.5"/>
        <color theme="1"/>
        <rFont val="Times New Roman"/>
        <family val="1"/>
      </rPr>
      <t>m²</t>
    </r>
    <r>
      <rPr>
        <sz val="10.5"/>
        <color theme="1"/>
        <rFont val="宋体"/>
        <charset val="134"/>
      </rPr>
      <t>）</t>
    </r>
  </si>
  <si>
    <t>极值</t>
  </si>
  <si>
    <r>
      <rPr>
        <sz val="10.5"/>
        <color theme="1"/>
        <rFont val="宋体"/>
        <charset val="134"/>
      </rPr>
      <t>允许最大缝宽（</t>
    </r>
    <r>
      <rPr>
        <sz val="10.5"/>
        <color theme="1"/>
        <rFont val="Times New Roman"/>
        <family val="1"/>
      </rPr>
      <t>mm</t>
    </r>
    <r>
      <rPr>
        <sz val="10.5"/>
        <color theme="1"/>
        <rFont val="宋体"/>
        <charset val="134"/>
      </rPr>
      <t>）</t>
    </r>
  </si>
  <si>
    <r>
      <rPr>
        <sz val="10.5"/>
        <color theme="1"/>
        <rFont val="宋体"/>
        <charset val="134"/>
      </rPr>
      <t>备注</t>
    </r>
    <r>
      <rPr>
        <sz val="10.5"/>
        <color theme="1"/>
        <rFont val="Times New Roman"/>
        <family val="1"/>
      </rPr>
      <t xml:space="preserve"> </t>
    </r>
  </si>
  <si>
    <t>上部</t>
  </si>
  <si>
    <t>主拱圈</t>
  </si>
  <si>
    <t>拱箱</t>
  </si>
  <si>
    <t>船撞后孔</t>
  </si>
  <si>
    <r>
      <rPr>
        <sz val="10.5"/>
        <color theme="1"/>
        <rFont val="宋体"/>
        <charset val="134"/>
      </rPr>
      <t>最大面积：</t>
    </r>
    <r>
      <rPr>
        <sz val="10.5"/>
        <color theme="1"/>
        <rFont val="Times New Roman"/>
        <family val="1"/>
      </rPr>
      <t>1.28m×0.87m</t>
    </r>
  </si>
  <si>
    <t>结构</t>
  </si>
  <si>
    <t>洞露筋</t>
  </si>
  <si>
    <t>货船剐蹭</t>
  </si>
  <si>
    <r>
      <rPr>
        <sz val="10.5"/>
        <color theme="1"/>
        <rFont val="宋体"/>
        <charset val="134"/>
      </rPr>
      <t>最大面积：</t>
    </r>
    <r>
      <rPr>
        <sz val="10.5"/>
        <color theme="1"/>
        <rFont val="Times New Roman"/>
        <family val="1"/>
      </rPr>
      <t>1.11m×2.45m</t>
    </r>
  </si>
  <si>
    <t>拱上</t>
  </si>
  <si>
    <t>水平裂缝</t>
  </si>
  <si>
    <r>
      <rPr>
        <sz val="10.5"/>
        <color rgb="FFFF0000"/>
        <rFont val="宋体"/>
        <charset val="134"/>
      </rPr>
      <t>最大缝长：</t>
    </r>
    <r>
      <rPr>
        <sz val="10.5"/>
        <color rgb="FFFF0000"/>
        <rFont val="Times New Roman"/>
        <family val="1"/>
      </rPr>
      <t>1.60m</t>
    </r>
  </si>
  <si>
    <t>立柱</t>
  </si>
  <si>
    <r>
      <rPr>
        <sz val="10.5"/>
        <color rgb="FFFF0000"/>
        <rFont val="宋体"/>
        <charset val="134"/>
      </rPr>
      <t>最大缝宽：</t>
    </r>
    <r>
      <rPr>
        <sz val="10.5"/>
        <color rgb="FFFF0000"/>
        <rFont val="Times New Roman"/>
        <family val="1"/>
      </rPr>
      <t>0.28mm</t>
    </r>
  </si>
  <si>
    <t>混凝土剥落、露筋且锈蚀</t>
  </si>
  <si>
    <r>
      <rPr>
        <sz val="10.5"/>
        <color theme="1"/>
        <rFont val="宋体"/>
        <charset val="134"/>
      </rPr>
      <t>面积：</t>
    </r>
    <r>
      <rPr>
        <sz val="10.5"/>
        <color theme="1"/>
        <rFont val="Times New Roman"/>
        <family val="1"/>
      </rPr>
      <t>0.10m×0.10m</t>
    </r>
  </si>
  <si>
    <r>
      <rPr>
        <sz val="10.5"/>
        <color theme="1"/>
        <rFont val="宋体"/>
        <charset val="134"/>
      </rPr>
      <t>缝长：</t>
    </r>
    <r>
      <rPr>
        <sz val="10.5"/>
        <color theme="1"/>
        <rFont val="Times New Roman"/>
        <family val="1"/>
      </rPr>
      <t>1.03m</t>
    </r>
  </si>
  <si>
    <t>横墙</t>
  </si>
  <si>
    <r>
      <rPr>
        <sz val="10.5"/>
        <color theme="1"/>
        <rFont val="宋体"/>
        <charset val="134"/>
      </rPr>
      <t>最大缝宽：</t>
    </r>
    <r>
      <rPr>
        <sz val="10.5"/>
        <color theme="1"/>
        <rFont val="Times New Roman"/>
        <family val="1"/>
      </rPr>
      <t>0.52mm</t>
    </r>
  </si>
  <si>
    <t>拱上立柱盖梁</t>
  </si>
  <si>
    <r>
      <rPr>
        <sz val="10.5"/>
        <color theme="1"/>
        <rFont val="宋体"/>
        <charset val="134"/>
      </rPr>
      <t>缝长：</t>
    </r>
    <r>
      <rPr>
        <sz val="10.5"/>
        <color theme="1"/>
        <rFont val="Times New Roman"/>
        <family val="1"/>
      </rPr>
      <t>0.80m</t>
    </r>
  </si>
  <si>
    <r>
      <rPr>
        <sz val="10.5"/>
        <color theme="1"/>
        <rFont val="宋体"/>
        <charset val="134"/>
      </rPr>
      <t>最大缝宽：</t>
    </r>
    <r>
      <rPr>
        <sz val="10.5"/>
        <color theme="1"/>
        <rFont val="Times New Roman"/>
        <family val="1"/>
      </rPr>
      <t>0.24mm</t>
    </r>
  </si>
  <si>
    <r>
      <rPr>
        <sz val="10.5"/>
        <color theme="1"/>
        <rFont val="宋体"/>
        <charset val="134"/>
      </rPr>
      <t>最大缝长：</t>
    </r>
    <r>
      <rPr>
        <sz val="10.5"/>
        <color theme="1"/>
        <rFont val="Times New Roman"/>
        <family val="1"/>
      </rPr>
      <t>0.37m</t>
    </r>
  </si>
  <si>
    <r>
      <rPr>
        <sz val="10.5"/>
        <color theme="1"/>
        <rFont val="宋体"/>
        <charset val="134"/>
      </rPr>
      <t>最大缝宽：</t>
    </r>
    <r>
      <rPr>
        <sz val="10.5"/>
        <color theme="1"/>
        <rFont val="Times New Roman"/>
        <family val="1"/>
      </rPr>
      <t>0.54mm</t>
    </r>
  </si>
  <si>
    <r>
      <rPr>
        <sz val="10.5"/>
        <color theme="1"/>
        <rFont val="宋体"/>
        <charset val="134"/>
      </rPr>
      <t>最大面积：</t>
    </r>
    <r>
      <rPr>
        <sz val="10.5"/>
        <color theme="1"/>
        <rFont val="Times New Roman"/>
        <family val="1"/>
      </rPr>
      <t>0.78m×0.64m</t>
    </r>
  </si>
  <si>
    <t>拱上立柱基梁</t>
  </si>
  <si>
    <r>
      <rPr>
        <sz val="10.5"/>
        <color theme="1"/>
        <rFont val="宋体"/>
        <charset val="134"/>
      </rPr>
      <t>最大面积：</t>
    </r>
    <r>
      <rPr>
        <sz val="10.5"/>
        <color theme="1"/>
        <rFont val="Times New Roman"/>
        <family val="1"/>
      </rPr>
      <t>0.20m×0.30m</t>
    </r>
  </si>
  <si>
    <r>
      <rPr>
        <sz val="10.5"/>
        <color theme="1"/>
        <rFont val="宋体"/>
        <charset val="134"/>
      </rPr>
      <t>缝长：</t>
    </r>
    <r>
      <rPr>
        <sz val="10.5"/>
        <color theme="1"/>
        <rFont val="Times New Roman"/>
        <family val="1"/>
      </rPr>
      <t>0.73m</t>
    </r>
  </si>
  <si>
    <r>
      <rPr>
        <sz val="10.5"/>
        <color theme="1"/>
        <rFont val="宋体"/>
        <charset val="134"/>
      </rPr>
      <t>最大缝宽：</t>
    </r>
    <r>
      <rPr>
        <sz val="10.5"/>
        <color theme="1"/>
        <rFont val="Times New Roman"/>
        <family val="1"/>
      </rPr>
      <t>0.20mm</t>
    </r>
  </si>
  <si>
    <t>桥面板</t>
  </si>
  <si>
    <t>行车</t>
  </si>
  <si>
    <r>
      <rPr>
        <sz val="10.5"/>
        <color theme="1"/>
        <rFont val="宋体"/>
        <charset val="134"/>
      </rPr>
      <t>最大缝长：</t>
    </r>
    <r>
      <rPr>
        <sz val="10.5"/>
        <color theme="1"/>
        <rFont val="Times New Roman"/>
        <family val="1"/>
      </rPr>
      <t>0.95m</t>
    </r>
  </si>
  <si>
    <t>均未超规范限宽</t>
  </si>
  <si>
    <t>道板</t>
  </si>
  <si>
    <r>
      <rPr>
        <sz val="10.5"/>
        <color theme="1"/>
        <rFont val="宋体"/>
        <charset val="134"/>
      </rPr>
      <t>最大缝宽：</t>
    </r>
    <r>
      <rPr>
        <sz val="10.5"/>
        <color theme="1"/>
        <rFont val="Times New Roman"/>
        <family val="1"/>
      </rPr>
      <t>0.08mm</t>
    </r>
  </si>
  <si>
    <r>
      <rPr>
        <sz val="10.5"/>
        <color theme="1"/>
        <rFont val="宋体"/>
        <charset val="134"/>
      </rPr>
      <t>最大面积：</t>
    </r>
    <r>
      <rPr>
        <sz val="10.5"/>
        <color theme="1"/>
        <rFont val="Times New Roman"/>
        <family val="1"/>
      </rPr>
      <t>3.74m×0.20m</t>
    </r>
  </si>
  <si>
    <t>局部脱空</t>
  </si>
  <si>
    <r>
      <rPr>
        <sz val="10.5"/>
        <color theme="1"/>
        <rFont val="宋体"/>
        <charset val="134"/>
      </rPr>
      <t>最大脱空深：</t>
    </r>
    <r>
      <rPr>
        <sz val="10.5"/>
        <color theme="1"/>
        <rFont val="Times New Roman"/>
        <family val="1"/>
      </rPr>
      <t>120.0mm</t>
    </r>
  </si>
  <si>
    <r>
      <rPr>
        <sz val="10.5"/>
        <color theme="1"/>
        <rFont val="宋体"/>
        <charset val="134"/>
      </rPr>
      <t>最大脱空高：</t>
    </r>
    <r>
      <rPr>
        <sz val="10.5"/>
        <color theme="1"/>
        <rFont val="Times New Roman"/>
        <family val="1"/>
      </rPr>
      <t>10.0mm</t>
    </r>
  </si>
  <si>
    <t>碎裂</t>
  </si>
  <si>
    <t>下部</t>
  </si>
  <si>
    <t>桥墩</t>
  </si>
  <si>
    <r>
      <rPr>
        <sz val="10.5"/>
        <color theme="1"/>
        <rFont val="宋体"/>
        <charset val="134"/>
      </rPr>
      <t>缝长：</t>
    </r>
    <r>
      <rPr>
        <sz val="10.5"/>
        <color theme="1"/>
        <rFont val="Times New Roman"/>
        <family val="1"/>
      </rPr>
      <t>1.40m</t>
    </r>
  </si>
  <si>
    <t>未超规</t>
  </si>
  <si>
    <t>范限宽</t>
  </si>
  <si>
    <r>
      <rPr>
        <sz val="10.5"/>
        <color theme="1"/>
        <rFont val="宋体"/>
        <charset val="134"/>
      </rPr>
      <t>最大缝长：</t>
    </r>
    <r>
      <rPr>
        <sz val="10.5"/>
        <color theme="1"/>
        <rFont val="Times New Roman"/>
        <family val="1"/>
      </rPr>
      <t>6.80m</t>
    </r>
  </si>
  <si>
    <t>均超规</t>
  </si>
  <si>
    <r>
      <rPr>
        <sz val="10.5"/>
        <color theme="1"/>
        <rFont val="宋体"/>
        <charset val="134"/>
      </rPr>
      <t>最大缝宽：</t>
    </r>
    <r>
      <rPr>
        <sz val="10.5"/>
        <color theme="1"/>
        <rFont val="Times New Roman"/>
        <family val="1"/>
      </rPr>
      <t>0.34mm</t>
    </r>
  </si>
  <si>
    <t>剐蹭、露筋</t>
  </si>
  <si>
    <r>
      <rPr>
        <sz val="10.5"/>
        <color theme="1"/>
        <rFont val="宋体"/>
        <charset val="134"/>
      </rPr>
      <t>面积：</t>
    </r>
    <r>
      <rPr>
        <sz val="10.5"/>
        <color theme="1"/>
        <rFont val="Times New Roman"/>
        <family val="1"/>
      </rPr>
      <t>1.85m×0.75m</t>
    </r>
  </si>
  <si>
    <t>桥面系</t>
  </si>
  <si>
    <t>杂物堵塞</t>
  </si>
  <si>
    <r>
      <rPr>
        <sz val="10.5"/>
        <color theme="1"/>
        <rFont val="宋体"/>
        <charset val="134"/>
      </rPr>
      <t>长度均为：</t>
    </r>
    <r>
      <rPr>
        <sz val="10.5"/>
        <color theme="1"/>
        <rFont val="Times New Roman"/>
        <family val="1"/>
      </rPr>
      <t>13.40m</t>
    </r>
  </si>
  <si>
    <t>橡胶破损</t>
  </si>
  <si>
    <r>
      <rPr>
        <sz val="10.5"/>
        <color theme="1"/>
        <rFont val="宋体"/>
        <charset val="134"/>
      </rPr>
      <t>最大长度：</t>
    </r>
    <r>
      <rPr>
        <sz val="10.5"/>
        <color theme="1"/>
        <rFont val="Times New Roman"/>
        <family val="1"/>
      </rPr>
      <t>7.20m</t>
    </r>
  </si>
  <si>
    <t>位于玉林面，立柱与基梁结合处</t>
  </si>
  <si>
    <t>缝长</t>
  </si>
  <si>
    <t>最大缝宽</t>
  </si>
  <si>
    <r>
      <rPr>
        <sz val="10.5"/>
        <color theme="1"/>
        <rFont val="宋体"/>
        <charset val="134"/>
      </rPr>
      <t>位于桂林面，距底</t>
    </r>
    <r>
      <rPr>
        <sz val="10.5"/>
        <color theme="1"/>
        <rFont val="Times New Roman"/>
        <family val="1"/>
      </rPr>
      <t>0m</t>
    </r>
    <r>
      <rPr>
        <sz val="10.5"/>
        <color theme="1"/>
        <rFont val="宋体"/>
        <charset val="134"/>
      </rPr>
      <t>，距右</t>
    </r>
    <r>
      <rPr>
        <sz val="10.5"/>
        <color theme="1"/>
        <rFont val="Times New Roman"/>
        <family val="1"/>
      </rPr>
      <t>0m</t>
    </r>
  </si>
  <si>
    <r>
      <rPr>
        <sz val="10.5"/>
        <color theme="1"/>
        <rFont val="宋体"/>
        <charset val="134"/>
      </rPr>
      <t>位于玉林面，距底</t>
    </r>
    <r>
      <rPr>
        <sz val="10.5"/>
        <color theme="1"/>
        <rFont val="Times New Roman"/>
        <family val="1"/>
      </rPr>
      <t>0m</t>
    </r>
    <r>
      <rPr>
        <sz val="10.5"/>
        <color theme="1"/>
        <rFont val="宋体"/>
        <charset val="134"/>
      </rPr>
      <t>，距右</t>
    </r>
    <r>
      <rPr>
        <sz val="10.5"/>
        <color theme="1"/>
        <rFont val="Times New Roman"/>
        <family val="1"/>
      </rPr>
      <t>0m</t>
    </r>
  </si>
  <si>
    <t>位于桂林面，立柱与基梁结合处</t>
  </si>
  <si>
    <r>
      <rPr>
        <sz val="10.5"/>
        <color theme="1"/>
        <rFont val="宋体"/>
        <charset val="134"/>
      </rPr>
      <t>位于玉林面，距左</t>
    </r>
    <r>
      <rPr>
        <sz val="10.5"/>
        <color theme="1"/>
        <rFont val="Times New Roman"/>
        <family val="1"/>
      </rPr>
      <t>2.22m</t>
    </r>
    <r>
      <rPr>
        <sz val="10.5"/>
        <color theme="1"/>
        <rFont val="宋体"/>
        <charset val="134"/>
      </rPr>
      <t>，距顶</t>
    </r>
    <r>
      <rPr>
        <sz val="10.5"/>
        <color theme="1"/>
        <rFont val="Times New Roman"/>
        <family val="1"/>
      </rPr>
      <t>0m</t>
    </r>
  </si>
  <si>
    <r>
      <rPr>
        <sz val="10.5"/>
        <color theme="1"/>
        <rFont val="宋体"/>
        <charset val="134"/>
      </rPr>
      <t>位于桂林面，距顶</t>
    </r>
    <r>
      <rPr>
        <sz val="10.5"/>
        <color theme="1"/>
        <rFont val="Times New Roman"/>
        <family val="1"/>
      </rPr>
      <t>1.88m</t>
    </r>
  </si>
  <si>
    <r>
      <rPr>
        <sz val="10.5"/>
        <color theme="1"/>
        <rFont val="宋体"/>
        <charset val="134"/>
      </rPr>
      <t>位于桂林面，距顶</t>
    </r>
    <r>
      <rPr>
        <sz val="10.5"/>
        <color theme="1"/>
        <rFont val="Times New Roman"/>
        <family val="1"/>
      </rPr>
      <t>1.84m</t>
    </r>
  </si>
  <si>
    <r>
      <rPr>
        <sz val="10.5"/>
        <color theme="1"/>
        <rFont val="宋体"/>
        <charset val="134"/>
      </rPr>
      <t>位于桂林面，距底</t>
    </r>
    <r>
      <rPr>
        <sz val="10.5"/>
        <color theme="1"/>
        <rFont val="Times New Roman"/>
        <family val="1"/>
      </rPr>
      <t>0.10m</t>
    </r>
    <r>
      <rPr>
        <sz val="10.5"/>
        <color theme="1"/>
        <rFont val="宋体"/>
        <charset val="134"/>
      </rPr>
      <t>，距左</t>
    </r>
    <r>
      <rPr>
        <sz val="10.5"/>
        <color theme="1"/>
        <rFont val="Times New Roman"/>
        <family val="1"/>
      </rPr>
      <t>0m</t>
    </r>
  </si>
  <si>
    <t xml:space="preserve">zong </t>
  </si>
  <si>
    <t>&gt;0.15</t>
  </si>
  <si>
    <t>&lt;0.15</t>
  </si>
  <si>
    <t>拱箱孔洞维修工程数量表</t>
  </si>
  <si>
    <r>
      <rPr>
        <sz val="10"/>
        <rFont val="SJQY"/>
        <charset val="134"/>
      </rPr>
      <t>A</t>
    </r>
    <r>
      <rPr>
        <sz val="10"/>
        <rFont val="仿宋_GB2312"/>
        <charset val="134"/>
      </rPr>
      <t>8钢筋</t>
    </r>
  </si>
  <si>
    <t>项目名称：全州县文桥镇谏禄村委和平片基础设施项目</t>
    <phoneticPr fontId="27" type="noConversion"/>
  </si>
  <si>
    <t>人行预制盖板工程数量汇总表</t>
    <phoneticPr fontId="27" type="noConversion"/>
  </si>
  <si>
    <t>S4-5</t>
    <phoneticPr fontId="27" type="noConversion"/>
  </si>
  <si>
    <t xml:space="preserve"> 第 1 页  共 1 页</t>
    <phoneticPr fontId="27" type="noConversion"/>
  </si>
  <si>
    <t>编制：</t>
    <phoneticPr fontId="27" type="noConversion"/>
  </si>
  <si>
    <t>复核：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</si>
</sst>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8" formatCode="&quot;N&quot;0"/>
    <numFmt numFmtId="179" formatCode="0.0"/>
    <numFmt numFmtId="180" formatCode="&quot;&quot;0"/>
    <numFmt numFmtId="181" formatCode="0.000_ "/>
    <numFmt numFmtId="182" formatCode="0.000"/>
    <numFmt numFmtId="183" formatCode="0.0_ "/>
    <numFmt numFmtId="184" formatCode="0_ "/>
    <numFmt numFmtId="185" formatCode="0.00_ "/>
    <numFmt numFmtId="186" formatCode="0.00_);[Red]\(0.00\)"/>
    <numFmt numFmtId="187" formatCode="0_);[Red]\(0\)"/>
    <numFmt numFmtId="188" formatCode="0.0_);[Red]\(0.0\)"/>
    <numFmt numFmtId="189" formatCode="0.0&quot;升&quot;"/>
  </numFmts>
  <fonts count="32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0"/>
      <name val="仿宋_GB2312"/>
      <charset val="134"/>
    </font>
    <font>
      <sz val="10.5"/>
      <color theme="1"/>
      <name val="宋体"/>
      <charset val="134"/>
    </font>
    <font>
      <sz val="10.5"/>
      <color theme="1"/>
      <name val="Times New Roman"/>
      <family val="1"/>
    </font>
    <font>
      <sz val="10.5"/>
      <color rgb="FFFF0000"/>
      <name val="宋体"/>
      <charset val="134"/>
    </font>
    <font>
      <sz val="10.5"/>
      <color rgb="FFFF0000"/>
      <name val="Times New Roman"/>
      <family val="1"/>
    </font>
    <font>
      <sz val="12"/>
      <name val="仿宋_GB2312"/>
      <charset val="134"/>
    </font>
    <font>
      <u/>
      <sz val="17.5"/>
      <name val="仿宋_GB2312"/>
      <charset val="134"/>
    </font>
    <font>
      <sz val="12"/>
      <name val="SJQY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b/>
      <u/>
      <sz val="26"/>
      <name val="仿宋_GB2312"/>
      <charset val="134"/>
    </font>
    <font>
      <b/>
      <u/>
      <sz val="28"/>
      <name val="仿宋_GB2312"/>
      <charset val="134"/>
    </font>
    <font>
      <sz val="11"/>
      <name val="宋体"/>
      <charset val="134"/>
      <scheme val="minor"/>
    </font>
    <font>
      <sz val="10"/>
      <name val="楷体_GB2312"/>
      <charset val="134"/>
    </font>
    <font>
      <sz val="10"/>
      <name val="SJQY"/>
      <charset val="134"/>
    </font>
    <font>
      <b/>
      <sz val="11"/>
      <name val="仿宋_GB2312"/>
      <charset val="134"/>
    </font>
    <font>
      <vertAlign val="superscript"/>
      <sz val="11"/>
      <color indexed="8"/>
      <name val="仿宋_GB2312"/>
      <charset val="134"/>
    </font>
    <font>
      <sz val="11"/>
      <color indexed="8"/>
      <name val="仿宋_GB2312"/>
      <charset val="134"/>
    </font>
    <font>
      <vertAlign val="superscript"/>
      <sz val="11"/>
      <name val="仿宋_GB2312"/>
      <charset val="134"/>
    </font>
    <font>
      <sz val="11"/>
      <name val="SJQY"/>
      <charset val="134"/>
    </font>
    <font>
      <vertAlign val="superscript"/>
      <sz val="12"/>
      <name val="仿宋_GB2312"/>
      <charset val="134"/>
    </font>
    <font>
      <vertAlign val="superscript"/>
      <sz val="10"/>
      <name val="仿宋_GB2312"/>
      <charset val="134"/>
    </font>
    <font>
      <vertAlign val="superscript"/>
      <sz val="10"/>
      <color indexed="8"/>
      <name val="仿宋_GB2312"/>
      <charset val="134"/>
    </font>
    <font>
      <sz val="10"/>
      <color indexed="8"/>
      <name val="仿宋_GB2312"/>
      <charset val="134"/>
    </font>
    <font>
      <sz val="9"/>
      <name val="宋体"/>
      <family val="3"/>
      <charset val="134"/>
      <scheme val="minor"/>
    </font>
    <font>
      <sz val="12"/>
      <name val="仿宋_GB2312"/>
      <family val="3"/>
      <charset val="134"/>
    </font>
    <font>
      <b/>
      <u/>
      <sz val="26"/>
      <name val="仿宋_GB2312"/>
      <family val="3"/>
      <charset val="134"/>
    </font>
    <font>
      <sz val="11"/>
      <name val="仿宋_GB2312"/>
      <family val="3"/>
      <charset val="134"/>
    </font>
    <font>
      <sz val="11"/>
      <color theme="1"/>
      <name val="仿宋_GB2312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441">
    <xf numFmtId="0" fontId="0" fillId="0" borderId="0" xfId="0">
      <alignment vertical="center"/>
    </xf>
    <xf numFmtId="0" fontId="1" fillId="0" borderId="0" xfId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179" fontId="3" fillId="0" borderId="6" xfId="1" applyNumberFormat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181" fontId="3" fillId="0" borderId="6" xfId="1" applyNumberFormat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179" fontId="3" fillId="0" borderId="9" xfId="1" applyNumberFormat="1" applyFont="1" applyBorder="1" applyAlignment="1">
      <alignment horizontal="center" vertical="center"/>
    </xf>
    <xf numFmtId="0" fontId="3" fillId="0" borderId="0" xfId="1" applyFont="1"/>
    <xf numFmtId="0" fontId="4" fillId="0" borderId="1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182" fontId="3" fillId="0" borderId="40" xfId="1" applyNumberFormat="1" applyFont="1" applyFill="1" applyBorder="1" applyAlignment="1">
      <alignment horizontal="center" vertical="center"/>
    </xf>
    <xf numFmtId="183" fontId="3" fillId="0" borderId="6" xfId="1" applyNumberFormat="1" applyFont="1" applyBorder="1" applyAlignment="1">
      <alignment horizontal="center" vertical="center"/>
    </xf>
    <xf numFmtId="1" fontId="3" fillId="0" borderId="6" xfId="1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84" fontId="8" fillId="2" borderId="5" xfId="0" applyNumberFormat="1" applyFont="1" applyFill="1" applyBorder="1" applyAlignment="1">
      <alignment horizontal="center" vertical="center"/>
    </xf>
    <xf numFmtId="181" fontId="8" fillId="2" borderId="5" xfId="0" applyNumberFormat="1" applyFont="1" applyFill="1" applyBorder="1" applyAlignment="1">
      <alignment horizontal="center" vertical="center"/>
    </xf>
    <xf numFmtId="185" fontId="8" fillId="2" borderId="5" xfId="0" applyNumberFormat="1" applyFont="1" applyFill="1" applyBorder="1" applyAlignment="1">
      <alignment horizontal="center" vertical="center"/>
    </xf>
    <xf numFmtId="184" fontId="8" fillId="0" borderId="38" xfId="0" applyNumberFormat="1" applyFont="1" applyFill="1" applyBorder="1" applyAlignment="1">
      <alignment horizontal="center" vertical="center"/>
    </xf>
    <xf numFmtId="183" fontId="8" fillId="2" borderId="6" xfId="0" applyNumberFormat="1" applyFont="1" applyFill="1" applyBorder="1" applyAlignment="1">
      <alignment horizontal="center" vertical="center"/>
    </xf>
    <xf numFmtId="184" fontId="8" fillId="2" borderId="38" xfId="0" applyNumberFormat="1" applyFont="1" applyFill="1" applyBorder="1" applyAlignment="1">
      <alignment horizontal="center" vertical="center"/>
    </xf>
    <xf numFmtId="185" fontId="8" fillId="2" borderId="38" xfId="0" applyNumberFormat="1" applyFont="1" applyFill="1" applyBorder="1" applyAlignment="1">
      <alignment horizontal="center" vertical="center"/>
    </xf>
    <xf numFmtId="185" fontId="8" fillId="2" borderId="6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181" fontId="8" fillId="2" borderId="8" xfId="0" applyNumberFormat="1" applyFont="1" applyFill="1" applyBorder="1" applyAlignment="1">
      <alignment horizontal="center" vertical="center"/>
    </xf>
    <xf numFmtId="185" fontId="8" fillId="2" borderId="8" xfId="0" applyNumberFormat="1" applyFont="1" applyFill="1" applyBorder="1" applyAlignment="1">
      <alignment horizontal="center" vertical="center"/>
    </xf>
    <xf numFmtId="185" fontId="8" fillId="2" borderId="47" xfId="0" applyNumberFormat="1" applyFont="1" applyFill="1" applyBorder="1" applyAlignment="1">
      <alignment horizontal="center" vertical="center"/>
    </xf>
    <xf numFmtId="183" fontId="8" fillId="2" borderId="9" xfId="0" applyNumberFormat="1" applyFont="1" applyFill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84" fontId="8" fillId="0" borderId="5" xfId="0" applyNumberFormat="1" applyFont="1" applyBorder="1" applyAlignment="1">
      <alignment horizontal="center" vertical="center"/>
    </xf>
    <xf numFmtId="185" fontId="8" fillId="0" borderId="5" xfId="0" applyNumberFormat="1" applyFont="1" applyBorder="1" applyAlignment="1">
      <alignment horizontal="center" vertical="center"/>
    </xf>
    <xf numFmtId="183" fontId="8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top"/>
    </xf>
    <xf numFmtId="183" fontId="8" fillId="0" borderId="0" xfId="0" applyNumberFormat="1" applyFont="1">
      <alignment vertical="center"/>
    </xf>
    <xf numFmtId="184" fontId="8" fillId="0" borderId="0" xfId="0" applyNumberFormat="1" applyFont="1">
      <alignment vertical="center"/>
    </xf>
    <xf numFmtId="179" fontId="8" fillId="0" borderId="0" xfId="0" applyNumberFormat="1" applyFont="1">
      <alignment vertical="center"/>
    </xf>
    <xf numFmtId="18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85" fontId="8" fillId="0" borderId="0" xfId="0" applyNumberFormat="1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5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83" fontId="8" fillId="0" borderId="0" xfId="0" applyNumberFormat="1" applyFont="1" applyBorder="1" applyAlignment="1">
      <alignment horizontal="center" vertical="center"/>
    </xf>
    <xf numFmtId="186" fontId="8" fillId="0" borderId="0" xfId="0" applyNumberFormat="1" applyFont="1" applyBorder="1" applyAlignment="1">
      <alignment horizontal="center" vertical="center"/>
    </xf>
    <xf numFmtId="186" fontId="0" fillId="0" borderId="0" xfId="0" applyNumberFormat="1">
      <alignment vertical="center"/>
    </xf>
    <xf numFmtId="187" fontId="8" fillId="0" borderId="0" xfId="0" applyNumberFormat="1" applyFont="1" applyBorder="1" applyAlignment="1">
      <alignment horizontal="center" vertical="center"/>
    </xf>
    <xf numFmtId="187" fontId="0" fillId="0" borderId="0" xfId="0" applyNumberFormat="1">
      <alignment vertical="center"/>
    </xf>
    <xf numFmtId="188" fontId="8" fillId="0" borderId="0" xfId="0" applyNumberFormat="1" applyFont="1" applyBorder="1" applyAlignment="1">
      <alignment horizontal="center" vertical="center"/>
    </xf>
    <xf numFmtId="188" fontId="0" fillId="0" borderId="0" xfId="0" applyNumberFormat="1">
      <alignment vertical="center"/>
    </xf>
    <xf numFmtId="183" fontId="0" fillId="0" borderId="0" xfId="0" applyNumberFormat="1">
      <alignment vertical="center"/>
    </xf>
    <xf numFmtId="179" fontId="0" fillId="0" borderId="0" xfId="0" applyNumberFormat="1">
      <alignment vertical="center"/>
    </xf>
    <xf numFmtId="182" fontId="0" fillId="0" borderId="0" xfId="0" applyNumberFormat="1">
      <alignment vertical="center"/>
    </xf>
    <xf numFmtId="178" fontId="8" fillId="0" borderId="2" xfId="0" applyNumberFormat="1" applyFont="1" applyBorder="1" applyAlignment="1">
      <alignment horizontal="center" vertical="center" wrapText="1"/>
    </xf>
    <xf numFmtId="183" fontId="8" fillId="0" borderId="2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9" fontId="8" fillId="0" borderId="5" xfId="0" applyNumberFormat="1" applyFont="1" applyBorder="1" applyAlignment="1">
      <alignment horizontal="center" vertical="center" wrapText="1"/>
    </xf>
    <xf numFmtId="183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83" fontId="8" fillId="0" borderId="3" xfId="0" applyNumberFormat="1" applyFont="1" applyBorder="1" applyAlignment="1">
      <alignment horizontal="center" vertical="center" wrapText="1"/>
    </xf>
    <xf numFmtId="181" fontId="8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179" fontId="8" fillId="0" borderId="5" xfId="0" applyNumberFormat="1" applyFont="1" applyBorder="1" applyAlignment="1">
      <alignment horizontal="right" vertical="center" wrapText="1"/>
    </xf>
    <xf numFmtId="183" fontId="8" fillId="0" borderId="47" xfId="0" applyNumberFormat="1" applyFont="1" applyBorder="1" applyAlignment="1">
      <alignment horizontal="right" vertical="center" wrapText="1"/>
    </xf>
    <xf numFmtId="189" fontId="8" fillId="0" borderId="56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11" fillId="0" borderId="0" xfId="0" applyFont="1" applyFill="1">
      <alignment vertical="center"/>
    </xf>
    <xf numFmtId="0" fontId="8" fillId="0" borderId="0" xfId="0" applyFont="1" applyFill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/>
    </xf>
    <xf numFmtId="185" fontId="11" fillId="0" borderId="8" xfId="0" applyNumberFormat="1" applyFont="1" applyFill="1" applyBorder="1" applyAlignment="1">
      <alignment horizontal="center" vertical="center"/>
    </xf>
    <xf numFmtId="188" fontId="11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183" fontId="11" fillId="0" borderId="0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179" fontId="11" fillId="0" borderId="8" xfId="0" applyNumberFormat="1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183" fontId="11" fillId="0" borderId="8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/>
    </xf>
    <xf numFmtId="183" fontId="11" fillId="0" borderId="9" xfId="0" applyNumberFormat="1" applyFont="1" applyFill="1" applyBorder="1" applyAlignment="1">
      <alignment horizontal="center" vertical="center"/>
    </xf>
    <xf numFmtId="183" fontId="11" fillId="0" borderId="0" xfId="0" applyNumberFormat="1" applyFont="1" applyFill="1" applyBorder="1" applyAlignment="1">
      <alignment vertical="center" wrapText="1"/>
    </xf>
    <xf numFmtId="183" fontId="11" fillId="0" borderId="0" xfId="0" applyNumberFormat="1" applyFont="1" applyFill="1" applyBorder="1" applyAlignment="1">
      <alignment horizontal="center" vertical="center"/>
    </xf>
    <xf numFmtId="0" fontId="11" fillId="0" borderId="6" xfId="0" applyNumberFormat="1" applyFont="1" applyFill="1" applyBorder="1" applyAlignment="1">
      <alignment horizontal="center" vertical="center"/>
    </xf>
    <xf numFmtId="0" fontId="11" fillId="0" borderId="9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3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185" fontId="11" fillId="0" borderId="8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186" fontId="11" fillId="0" borderId="8" xfId="0" applyNumberFormat="1" applyFont="1" applyFill="1" applyBorder="1" applyAlignment="1">
      <alignment horizontal="center" vertical="center" wrapText="1"/>
    </xf>
    <xf numFmtId="186" fontId="11" fillId="0" borderId="9" xfId="0" applyNumberFormat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83" fontId="11" fillId="3" borderId="8" xfId="0" applyNumberFormat="1" applyFont="1" applyFill="1" applyBorder="1" applyAlignment="1">
      <alignment horizontal="center" vertical="center"/>
    </xf>
    <xf numFmtId="185" fontId="11" fillId="3" borderId="8" xfId="0" applyNumberFormat="1" applyFont="1" applyFill="1" applyBorder="1" applyAlignment="1">
      <alignment horizontal="center" vertical="center"/>
    </xf>
    <xf numFmtId="183" fontId="11" fillId="3" borderId="9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vertical="center"/>
    </xf>
    <xf numFmtId="183" fontId="11" fillId="3" borderId="9" xfId="0" applyNumberFormat="1" applyFont="1" applyFill="1" applyBorder="1" applyAlignment="1">
      <alignment horizontal="center" vertical="center" wrapText="1"/>
    </xf>
    <xf numFmtId="183" fontId="11" fillId="3" borderId="0" xfId="0" applyNumberFormat="1" applyFont="1" applyFill="1" applyBorder="1" applyAlignment="1">
      <alignment vertical="center"/>
    </xf>
    <xf numFmtId="179" fontId="11" fillId="0" borderId="9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87" fontId="11" fillId="4" borderId="8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84" fontId="11" fillId="0" borderId="8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11" fillId="0" borderId="8" xfId="0" applyNumberFormat="1" applyFont="1" applyFill="1" applyBorder="1" applyAlignment="1">
      <alignment horizontal="center" vertical="center"/>
    </xf>
    <xf numFmtId="179" fontId="11" fillId="0" borderId="8" xfId="0" applyNumberFormat="1" applyFont="1" applyBorder="1" applyAlignment="1">
      <alignment horizontal="center" vertical="center"/>
    </xf>
    <xf numFmtId="183" fontId="11" fillId="0" borderId="8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1" fillId="0" borderId="8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6" fillId="0" borderId="5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187" fontId="11" fillId="0" borderId="8" xfId="0" applyNumberFormat="1" applyFont="1" applyFill="1" applyBorder="1" applyAlignment="1">
      <alignment horizontal="center" vertical="center" wrapText="1"/>
    </xf>
    <xf numFmtId="183" fontId="16" fillId="0" borderId="8" xfId="0" applyNumberFormat="1" applyFont="1" applyFill="1" applyBorder="1" applyAlignment="1">
      <alignment horizontal="center" vertical="center" wrapText="1"/>
    </xf>
    <xf numFmtId="183" fontId="16" fillId="0" borderId="0" xfId="0" applyNumberFormat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5" fillId="3" borderId="0" xfId="0" applyFont="1" applyFill="1">
      <alignment vertical="center"/>
    </xf>
    <xf numFmtId="0" fontId="15" fillId="3" borderId="0" xfId="0" applyFont="1" applyFill="1" applyBorder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/>
    </xf>
    <xf numFmtId="185" fontId="3" fillId="3" borderId="8" xfId="0" applyNumberFormat="1" applyFont="1" applyFill="1" applyBorder="1" applyAlignment="1">
      <alignment horizontal="center" vertical="center"/>
    </xf>
    <xf numFmtId="186" fontId="3" fillId="3" borderId="8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center" vertical="center"/>
    </xf>
    <xf numFmtId="183" fontId="3" fillId="3" borderId="0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vertical="center"/>
    </xf>
    <xf numFmtId="0" fontId="3" fillId="3" borderId="4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/>
    </xf>
    <xf numFmtId="0" fontId="3" fillId="3" borderId="7" xfId="0" applyNumberFormat="1" applyFont="1" applyFill="1" applyBorder="1" applyAlignment="1">
      <alignment horizontal="center" vertical="center"/>
    </xf>
    <xf numFmtId="179" fontId="3" fillId="3" borderId="8" xfId="0" applyNumberFormat="1" applyFont="1" applyFill="1" applyBorder="1" applyAlignment="1">
      <alignment horizontal="center" vertical="center"/>
    </xf>
    <xf numFmtId="179" fontId="3" fillId="3" borderId="8" xfId="0" applyNumberFormat="1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49" fontId="11" fillId="3" borderId="0" xfId="0" applyNumberFormat="1" applyFont="1" applyFill="1" applyBorder="1" applyAlignment="1">
      <alignment horizontal="center" vertical="center" wrapText="1"/>
    </xf>
    <xf numFmtId="0" fontId="11" fillId="3" borderId="0" xfId="0" applyNumberFormat="1" applyFont="1" applyFill="1" applyBorder="1" applyAlignment="1">
      <alignment horizontal="center" vertical="center" wrapText="1"/>
    </xf>
    <xf numFmtId="183" fontId="11" fillId="3" borderId="0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12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3" borderId="0" xfId="0" applyFont="1" applyFill="1" applyBorder="1" applyAlignment="1">
      <alignment horizontal="left" vertical="center"/>
    </xf>
    <xf numFmtId="0" fontId="3" fillId="3" borderId="0" xfId="0" applyNumberFormat="1" applyFont="1" applyFill="1" applyBorder="1" applyAlignment="1">
      <alignment horizontal="center" vertical="center" wrapText="1"/>
    </xf>
    <xf numFmtId="179" fontId="3" fillId="3" borderId="0" xfId="0" applyNumberFormat="1" applyFont="1" applyFill="1" applyBorder="1" applyAlignment="1">
      <alignment horizontal="center" vertical="center"/>
    </xf>
    <xf numFmtId="183" fontId="3" fillId="3" borderId="0" xfId="0" applyNumberFormat="1" applyFont="1" applyFill="1" applyBorder="1" applyAlignment="1">
      <alignment horizontal="center" vertical="center"/>
    </xf>
    <xf numFmtId="179" fontId="3" fillId="3" borderId="0" xfId="0" applyNumberFormat="1" applyFont="1" applyFill="1" applyBorder="1" applyAlignment="1">
      <alignment horizontal="center" vertical="center" wrapText="1"/>
    </xf>
    <xf numFmtId="49" fontId="11" fillId="3" borderId="0" xfId="0" applyNumberFormat="1" applyFont="1" applyFill="1" applyBorder="1" applyAlignment="1">
      <alignment horizontal="center" vertical="center"/>
    </xf>
    <xf numFmtId="0" fontId="11" fillId="3" borderId="0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183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3" fillId="3" borderId="3" xfId="0" applyNumberFormat="1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183" fontId="16" fillId="3" borderId="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183" fontId="11" fillId="3" borderId="0" xfId="0" applyNumberFormat="1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179" fontId="3" fillId="0" borderId="0" xfId="0" applyNumberFormat="1" applyFont="1" applyBorder="1" applyAlignment="1">
      <alignment horizontal="center" vertical="center" wrapText="1"/>
    </xf>
    <xf numFmtId="179" fontId="3" fillId="0" borderId="0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2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179" fontId="3" fillId="0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86" fontId="11" fillId="0" borderId="8" xfId="0" quotePrefix="1" applyNumberFormat="1" applyFont="1" applyFill="1" applyBorder="1" applyAlignment="1">
      <alignment horizontal="center" vertical="center"/>
    </xf>
    <xf numFmtId="188" fontId="11" fillId="0" borderId="8" xfId="0" quotePrefix="1" applyNumberFormat="1" applyFont="1" applyFill="1" applyBorder="1" applyAlignment="1">
      <alignment horizontal="center" vertical="center"/>
    </xf>
    <xf numFmtId="0" fontId="11" fillId="0" borderId="8" xfId="0" quotePrefix="1" applyNumberFormat="1" applyFont="1" applyBorder="1" applyAlignment="1">
      <alignment horizontal="center" vertical="center"/>
    </xf>
    <xf numFmtId="2" fontId="11" fillId="0" borderId="9" xfId="0" quotePrefix="1" applyNumberFormat="1" applyFont="1" applyFill="1" applyBorder="1" applyAlignment="1">
      <alignment horizontal="center" vertical="center"/>
    </xf>
    <xf numFmtId="184" fontId="8" fillId="0" borderId="5" xfId="0" quotePrefix="1" applyNumberFormat="1" applyFont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184" fontId="8" fillId="0" borderId="8" xfId="0" quotePrefix="1" applyNumberFormat="1" applyFont="1" applyBorder="1" applyAlignment="1">
      <alignment horizontal="center" vertical="center"/>
    </xf>
    <xf numFmtId="184" fontId="8" fillId="2" borderId="5" xfId="0" quotePrefix="1" applyNumberFormat="1" applyFont="1" applyFill="1" applyBorder="1" applyAlignment="1">
      <alignment horizontal="center" vertical="center"/>
    </xf>
    <xf numFmtId="0" fontId="8" fillId="2" borderId="5" xfId="0" quotePrefix="1" applyFont="1" applyFill="1" applyBorder="1" applyAlignment="1">
      <alignment horizontal="center" vertical="center"/>
    </xf>
    <xf numFmtId="184" fontId="8" fillId="2" borderId="8" xfId="0" quotePrefix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7" fillId="3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7" xfId="0" applyNumberFormat="1" applyFont="1" applyFill="1" applyBorder="1" applyAlignment="1">
      <alignment horizontal="center" vertical="center"/>
    </xf>
    <xf numFmtId="0" fontId="11" fillId="0" borderId="6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11" fillId="3" borderId="57" xfId="0" applyFont="1" applyFill="1" applyBorder="1" applyAlignment="1">
      <alignment horizontal="center" vertical="center"/>
    </xf>
    <xf numFmtId="0" fontId="11" fillId="3" borderId="60" xfId="0" applyFont="1" applyFill="1" applyBorder="1" applyAlignment="1">
      <alignment horizontal="center" vertical="center"/>
    </xf>
    <xf numFmtId="0" fontId="11" fillId="3" borderId="6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57" xfId="0" applyFont="1" applyFill="1" applyBorder="1" applyAlignment="1">
      <alignment horizontal="center" vertical="center"/>
    </xf>
    <xf numFmtId="0" fontId="11" fillId="0" borderId="60" xfId="0" applyFont="1" applyFill="1" applyBorder="1" applyAlignment="1">
      <alignment horizontal="center" vertical="center"/>
    </xf>
    <xf numFmtId="0" fontId="11" fillId="0" borderId="6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8" xfId="0" applyFont="1" applyFill="1" applyBorder="1" applyAlignment="1">
      <alignment horizontal="center" vertical="center" wrapText="1"/>
    </xf>
    <xf numFmtId="0" fontId="11" fillId="0" borderId="59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81" fontId="8" fillId="0" borderId="5" xfId="0" applyNumberFormat="1" applyFont="1" applyBorder="1" applyAlignment="1">
      <alignment horizontal="center" vertical="center" wrapText="1"/>
    </xf>
    <xf numFmtId="179" fontId="8" fillId="0" borderId="6" xfId="0" applyNumberFormat="1" applyFont="1" applyBorder="1" applyAlignment="1">
      <alignment horizontal="center" vertical="center" wrapText="1"/>
    </xf>
    <xf numFmtId="179" fontId="8" fillId="0" borderId="9" xfId="0" applyNumberFormat="1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/>
    </xf>
    <xf numFmtId="186" fontId="8" fillId="0" borderId="38" xfId="0" applyNumberFormat="1" applyFont="1" applyBorder="1" applyAlignment="1">
      <alignment horizontal="center" vertical="center"/>
    </xf>
    <xf numFmtId="186" fontId="8" fillId="0" borderId="49" xfId="0" applyNumberFormat="1" applyFont="1" applyBorder="1" applyAlignment="1">
      <alignment horizontal="center" vertical="center"/>
    </xf>
    <xf numFmtId="186" fontId="8" fillId="0" borderId="50" xfId="0" applyNumberFormat="1" applyFont="1" applyBorder="1" applyAlignment="1">
      <alignment horizontal="center" vertical="center"/>
    </xf>
    <xf numFmtId="187" fontId="8" fillId="0" borderId="38" xfId="0" applyNumberFormat="1" applyFont="1" applyBorder="1" applyAlignment="1">
      <alignment horizontal="center" vertical="center"/>
    </xf>
    <xf numFmtId="187" fontId="8" fillId="0" borderId="49" xfId="0" applyNumberFormat="1" applyFont="1" applyBorder="1" applyAlignment="1">
      <alignment horizontal="center" vertical="center"/>
    </xf>
    <xf numFmtId="187" fontId="8" fillId="0" borderId="50" xfId="0" applyNumberFormat="1" applyFont="1" applyBorder="1" applyAlignment="1">
      <alignment horizontal="center" vertical="center"/>
    </xf>
    <xf numFmtId="188" fontId="8" fillId="0" borderId="47" xfId="0" applyNumberFormat="1" applyFont="1" applyBorder="1" applyAlignment="1">
      <alignment horizontal="center" vertical="center"/>
    </xf>
    <xf numFmtId="188" fontId="8" fillId="0" borderId="51" xfId="0" applyNumberFormat="1" applyFont="1" applyBorder="1" applyAlignment="1">
      <alignment horizontal="center" vertical="center"/>
    </xf>
    <xf numFmtId="188" fontId="8" fillId="0" borderId="5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188" fontId="8" fillId="0" borderId="38" xfId="0" applyNumberFormat="1" applyFont="1" applyBorder="1" applyAlignment="1">
      <alignment horizontal="center" vertical="center"/>
    </xf>
    <xf numFmtId="188" fontId="8" fillId="0" borderId="49" xfId="0" applyNumberFormat="1" applyFont="1" applyBorder="1" applyAlignment="1">
      <alignment horizontal="center" vertical="center"/>
    </xf>
    <xf numFmtId="188" fontId="8" fillId="0" borderId="50" xfId="0" applyNumberFormat="1" applyFont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78" fontId="3" fillId="0" borderId="2" xfId="1" applyNumberFormat="1" applyFont="1" applyFill="1" applyBorder="1" applyAlignment="1">
      <alignment horizontal="center" vertical="center"/>
    </xf>
    <xf numFmtId="178" fontId="3" fillId="0" borderId="38" xfId="1" applyNumberFormat="1" applyFont="1" applyFill="1" applyBorder="1" applyAlignment="1">
      <alignment horizontal="center" vertical="center"/>
    </xf>
    <xf numFmtId="178" fontId="3" fillId="0" borderId="39" xfId="1" applyNumberFormat="1" applyFont="1" applyFill="1" applyBorder="1" applyAlignment="1">
      <alignment horizontal="center" vertical="center"/>
    </xf>
    <xf numFmtId="180" fontId="3" fillId="0" borderId="5" xfId="1" applyNumberFormat="1" applyFont="1" applyFill="1" applyBorder="1" applyAlignment="1">
      <alignment horizontal="center" vertical="center"/>
    </xf>
    <xf numFmtId="180" fontId="3" fillId="0" borderId="8" xfId="1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178" fontId="3" fillId="0" borderId="5" xfId="1" applyNumberFormat="1" applyFont="1" applyFill="1" applyBorder="1" applyAlignment="1">
      <alignment horizontal="center" vertical="center"/>
    </xf>
    <xf numFmtId="0" fontId="28" fillId="3" borderId="0" xfId="0" applyFont="1" applyFill="1" applyAlignment="1">
      <alignment horizontal="left" vertical="center"/>
    </xf>
    <xf numFmtId="0" fontId="29" fillId="3" borderId="0" xfId="0" applyFont="1" applyFill="1" applyBorder="1" applyAlignment="1">
      <alignment horizontal="center" vertical="center"/>
    </xf>
    <xf numFmtId="0" fontId="29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28" fillId="3" borderId="0" xfId="0" applyFont="1" applyFill="1" applyBorder="1" applyAlignment="1">
      <alignment horizontal="center" vertical="center"/>
    </xf>
    <xf numFmtId="0" fontId="30" fillId="3" borderId="0" xfId="0" applyFont="1" applyFill="1" applyBorder="1" applyAlignment="1">
      <alignment horizontal="center" vertical="center"/>
    </xf>
    <xf numFmtId="0" fontId="31" fillId="0" borderId="0" xfId="0" applyFont="1" applyBorder="1">
      <alignment vertical="center"/>
    </xf>
    <xf numFmtId="0" fontId="30" fillId="3" borderId="0" xfId="0" applyFont="1" applyFill="1" applyBorder="1">
      <alignment vertical="center"/>
    </xf>
  </cellXfs>
  <cellStyles count="3">
    <cellStyle name="常规" xfId="0" builtinId="0"/>
    <cellStyle name="常规 2" xfId="1" xr:uid="{00000000-0005-0000-0000-000031000000}"/>
    <cellStyle name="常规_Sheet1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552450</xdr:colOff>
      <xdr:row>34</xdr:row>
      <xdr:rowOff>47625</xdr:rowOff>
    </xdr:from>
    <xdr:to>
      <xdr:col>3</xdr:col>
      <xdr:colOff>104775</xdr:colOff>
      <xdr:row>35</xdr:row>
      <xdr:rowOff>123825</xdr:rowOff>
    </xdr:to>
    <xdr:pic>
      <xdr:nvPicPr>
        <xdr:cNvPr id="2" name="图片 1" descr="5PU%U67ZODJU%M[QAM{LM80">
          <a:extLst>
            <a:ext uri="{FF2B5EF4-FFF2-40B4-BE49-F238E27FC236}">
              <a16:creationId xmlns:a16="http://schemas.microsoft.com/office/drawing/2014/main" id="{19446EFB-74CA-4933-899A-7BCBA6D077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8839200"/>
          <a:ext cx="7905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657225</xdr:colOff>
      <xdr:row>34</xdr:row>
      <xdr:rowOff>47625</xdr:rowOff>
    </xdr:from>
    <xdr:to>
      <xdr:col>10</xdr:col>
      <xdr:colOff>333375</xdr:colOff>
      <xdr:row>35</xdr:row>
      <xdr:rowOff>200025</xdr:rowOff>
    </xdr:to>
    <xdr:pic>
      <xdr:nvPicPr>
        <xdr:cNvPr id="3" name="Picture 67">
          <a:extLst>
            <a:ext uri="{FF2B5EF4-FFF2-40B4-BE49-F238E27FC236}">
              <a16:creationId xmlns:a16="http://schemas.microsoft.com/office/drawing/2014/main" id="{BB0C93FF-EFBF-45F0-B0F3-5B6F07048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9425" y="8839200"/>
          <a:ext cx="7429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177547</xdr:colOff>
      <xdr:row>19</xdr:row>
      <xdr:rowOff>89647</xdr:rowOff>
    </xdr:from>
    <xdr:to>
      <xdr:col>28</xdr:col>
      <xdr:colOff>386756</xdr:colOff>
      <xdr:row>20</xdr:row>
      <xdr:rowOff>205285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3951565" y="5612130"/>
          <a:ext cx="895350" cy="370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140318</xdr:colOff>
      <xdr:row>19</xdr:row>
      <xdr:rowOff>121803</xdr:rowOff>
    </xdr:from>
    <xdr:to>
      <xdr:col>18</xdr:col>
      <xdr:colOff>26499</xdr:colOff>
      <xdr:row>20</xdr:row>
      <xdr:rowOff>182860</xdr:rowOff>
    </xdr:to>
    <xdr:pic>
      <xdr:nvPicPr>
        <xdr:cNvPr id="3" name="图片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7056100" y="5643880"/>
          <a:ext cx="572135" cy="316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"/>
  <sheetViews>
    <sheetView workbookViewId="0">
      <selection activeCell="F31" sqref="F31"/>
    </sheetView>
  </sheetViews>
  <sheetFormatPr defaultColWidth="9" defaultRowHeight="13.5" x14ac:dyDescent="0.15"/>
  <sheetData/>
  <phoneticPr fontId="27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"/>
  <dimension ref="B1:V53"/>
  <sheetViews>
    <sheetView workbookViewId="0">
      <selection activeCell="O10" sqref="O10:P10"/>
    </sheetView>
  </sheetViews>
  <sheetFormatPr defaultColWidth="9" defaultRowHeight="14.25" x14ac:dyDescent="0.15"/>
  <cols>
    <col min="1" max="1" width="1.25" style="40" customWidth="1"/>
    <col min="2" max="2" width="4.875" style="40" customWidth="1"/>
    <col min="3" max="3" width="26.375" style="40" customWidth="1"/>
    <col min="4" max="4" width="16" style="40" customWidth="1"/>
    <col min="5" max="5" width="9" style="40" customWidth="1"/>
    <col min="6" max="6" width="9.25" style="40" customWidth="1"/>
    <col min="7" max="7" width="8.875" style="40" customWidth="1"/>
    <col min="8" max="8" width="9" style="40" customWidth="1"/>
    <col min="9" max="9" width="1" style="40" customWidth="1"/>
    <col min="10" max="11" width="5.625" style="40" customWidth="1"/>
    <col min="12" max="13" width="7.75" style="40" customWidth="1"/>
    <col min="14" max="14" width="9" style="40"/>
    <col min="15" max="15" width="9.5" style="40" customWidth="1"/>
    <col min="16" max="16" width="8.875" style="40" customWidth="1"/>
    <col min="17" max="261" width="9" style="40"/>
    <col min="262" max="262" width="1.25" style="40" customWidth="1"/>
    <col min="263" max="263" width="4.875" style="40" customWidth="1"/>
    <col min="264" max="264" width="25" style="40" customWidth="1"/>
    <col min="265" max="265" width="17.5" style="40" customWidth="1"/>
    <col min="266" max="266" width="7.125" style="40" customWidth="1"/>
    <col min="267" max="267" width="9.75" style="40" customWidth="1"/>
    <col min="268" max="268" width="9.25" style="40" customWidth="1"/>
    <col min="269" max="269" width="1" style="40" customWidth="1"/>
    <col min="270" max="270" width="9" style="40"/>
    <col min="271" max="271" width="9.5" style="40" customWidth="1"/>
    <col min="272" max="517" width="9" style="40"/>
    <col min="518" max="518" width="1.25" style="40" customWidth="1"/>
    <col min="519" max="519" width="4.875" style="40" customWidth="1"/>
    <col min="520" max="520" width="25" style="40" customWidth="1"/>
    <col min="521" max="521" width="17.5" style="40" customWidth="1"/>
    <col min="522" max="522" width="7.125" style="40" customWidth="1"/>
    <col min="523" max="523" width="9.75" style="40" customWidth="1"/>
    <col min="524" max="524" width="9.25" style="40" customWidth="1"/>
    <col min="525" max="525" width="1" style="40" customWidth="1"/>
    <col min="526" max="526" width="9" style="40"/>
    <col min="527" max="527" width="9.5" style="40" customWidth="1"/>
    <col min="528" max="773" width="9" style="40"/>
    <col min="774" max="774" width="1.25" style="40" customWidth="1"/>
    <col min="775" max="775" width="4.875" style="40" customWidth="1"/>
    <col min="776" max="776" width="25" style="40" customWidth="1"/>
    <col min="777" max="777" width="17.5" style="40" customWidth="1"/>
    <col min="778" max="778" width="7.125" style="40" customWidth="1"/>
    <col min="779" max="779" width="9.75" style="40" customWidth="1"/>
    <col min="780" max="780" width="9.25" style="40" customWidth="1"/>
    <col min="781" max="781" width="1" style="40" customWidth="1"/>
    <col min="782" max="782" width="9" style="40"/>
    <col min="783" max="783" width="9.5" style="40" customWidth="1"/>
    <col min="784" max="1029" width="9" style="40"/>
    <col min="1030" max="1030" width="1.25" style="40" customWidth="1"/>
    <col min="1031" max="1031" width="4.875" style="40" customWidth="1"/>
    <col min="1032" max="1032" width="25" style="40" customWidth="1"/>
    <col min="1033" max="1033" width="17.5" style="40" customWidth="1"/>
    <col min="1034" max="1034" width="7.125" style="40" customWidth="1"/>
    <col min="1035" max="1035" width="9.75" style="40" customWidth="1"/>
    <col min="1036" max="1036" width="9.25" style="40" customWidth="1"/>
    <col min="1037" max="1037" width="1" style="40" customWidth="1"/>
    <col min="1038" max="1038" width="9" style="40"/>
    <col min="1039" max="1039" width="9.5" style="40" customWidth="1"/>
    <col min="1040" max="1285" width="9" style="40"/>
    <col min="1286" max="1286" width="1.25" style="40" customWidth="1"/>
    <col min="1287" max="1287" width="4.875" style="40" customWidth="1"/>
    <col min="1288" max="1288" width="25" style="40" customWidth="1"/>
    <col min="1289" max="1289" width="17.5" style="40" customWidth="1"/>
    <col min="1290" max="1290" width="7.125" style="40" customWidth="1"/>
    <col min="1291" max="1291" width="9.75" style="40" customWidth="1"/>
    <col min="1292" max="1292" width="9.25" style="40" customWidth="1"/>
    <col min="1293" max="1293" width="1" style="40" customWidth="1"/>
    <col min="1294" max="1294" width="9" style="40"/>
    <col min="1295" max="1295" width="9.5" style="40" customWidth="1"/>
    <col min="1296" max="1541" width="9" style="40"/>
    <col min="1542" max="1542" width="1.25" style="40" customWidth="1"/>
    <col min="1543" max="1543" width="4.875" style="40" customWidth="1"/>
    <col min="1544" max="1544" width="25" style="40" customWidth="1"/>
    <col min="1545" max="1545" width="17.5" style="40" customWidth="1"/>
    <col min="1546" max="1546" width="7.125" style="40" customWidth="1"/>
    <col min="1547" max="1547" width="9.75" style="40" customWidth="1"/>
    <col min="1548" max="1548" width="9.25" style="40" customWidth="1"/>
    <col min="1549" max="1549" width="1" style="40" customWidth="1"/>
    <col min="1550" max="1550" width="9" style="40"/>
    <col min="1551" max="1551" width="9.5" style="40" customWidth="1"/>
    <col min="1552" max="1797" width="9" style="40"/>
    <col min="1798" max="1798" width="1.25" style="40" customWidth="1"/>
    <col min="1799" max="1799" width="4.875" style="40" customWidth="1"/>
    <col min="1800" max="1800" width="25" style="40" customWidth="1"/>
    <col min="1801" max="1801" width="17.5" style="40" customWidth="1"/>
    <col min="1802" max="1802" width="7.125" style="40" customWidth="1"/>
    <col min="1803" max="1803" width="9.75" style="40" customWidth="1"/>
    <col min="1804" max="1804" width="9.25" style="40" customWidth="1"/>
    <col min="1805" max="1805" width="1" style="40" customWidth="1"/>
    <col min="1806" max="1806" width="9" style="40"/>
    <col min="1807" max="1807" width="9.5" style="40" customWidth="1"/>
    <col min="1808" max="2053" width="9" style="40"/>
    <col min="2054" max="2054" width="1.25" style="40" customWidth="1"/>
    <col min="2055" max="2055" width="4.875" style="40" customWidth="1"/>
    <col min="2056" max="2056" width="25" style="40" customWidth="1"/>
    <col min="2057" max="2057" width="17.5" style="40" customWidth="1"/>
    <col min="2058" max="2058" width="7.125" style="40" customWidth="1"/>
    <col min="2059" max="2059" width="9.75" style="40" customWidth="1"/>
    <col min="2060" max="2060" width="9.25" style="40" customWidth="1"/>
    <col min="2061" max="2061" width="1" style="40" customWidth="1"/>
    <col min="2062" max="2062" width="9" style="40"/>
    <col min="2063" max="2063" width="9.5" style="40" customWidth="1"/>
    <col min="2064" max="2309" width="9" style="40"/>
    <col min="2310" max="2310" width="1.25" style="40" customWidth="1"/>
    <col min="2311" max="2311" width="4.875" style="40" customWidth="1"/>
    <col min="2312" max="2312" width="25" style="40" customWidth="1"/>
    <col min="2313" max="2313" width="17.5" style="40" customWidth="1"/>
    <col min="2314" max="2314" width="7.125" style="40" customWidth="1"/>
    <col min="2315" max="2315" width="9.75" style="40" customWidth="1"/>
    <col min="2316" max="2316" width="9.25" style="40" customWidth="1"/>
    <col min="2317" max="2317" width="1" style="40" customWidth="1"/>
    <col min="2318" max="2318" width="9" style="40"/>
    <col min="2319" max="2319" width="9.5" style="40" customWidth="1"/>
    <col min="2320" max="2565" width="9" style="40"/>
    <col min="2566" max="2566" width="1.25" style="40" customWidth="1"/>
    <col min="2567" max="2567" width="4.875" style="40" customWidth="1"/>
    <col min="2568" max="2568" width="25" style="40" customWidth="1"/>
    <col min="2569" max="2569" width="17.5" style="40" customWidth="1"/>
    <col min="2570" max="2570" width="7.125" style="40" customWidth="1"/>
    <col min="2571" max="2571" width="9.75" style="40" customWidth="1"/>
    <col min="2572" max="2572" width="9.25" style="40" customWidth="1"/>
    <col min="2573" max="2573" width="1" style="40" customWidth="1"/>
    <col min="2574" max="2574" width="9" style="40"/>
    <col min="2575" max="2575" width="9.5" style="40" customWidth="1"/>
    <col min="2576" max="2821" width="9" style="40"/>
    <col min="2822" max="2822" width="1.25" style="40" customWidth="1"/>
    <col min="2823" max="2823" width="4.875" style="40" customWidth="1"/>
    <col min="2824" max="2824" width="25" style="40" customWidth="1"/>
    <col min="2825" max="2825" width="17.5" style="40" customWidth="1"/>
    <col min="2826" max="2826" width="7.125" style="40" customWidth="1"/>
    <col min="2827" max="2827" width="9.75" style="40" customWidth="1"/>
    <col min="2828" max="2828" width="9.25" style="40" customWidth="1"/>
    <col min="2829" max="2829" width="1" style="40" customWidth="1"/>
    <col min="2830" max="2830" width="9" style="40"/>
    <col min="2831" max="2831" width="9.5" style="40" customWidth="1"/>
    <col min="2832" max="3077" width="9" style="40"/>
    <col min="3078" max="3078" width="1.25" style="40" customWidth="1"/>
    <col min="3079" max="3079" width="4.875" style="40" customWidth="1"/>
    <col min="3080" max="3080" width="25" style="40" customWidth="1"/>
    <col min="3081" max="3081" width="17.5" style="40" customWidth="1"/>
    <col min="3082" max="3082" width="7.125" style="40" customWidth="1"/>
    <col min="3083" max="3083" width="9.75" style="40" customWidth="1"/>
    <col min="3084" max="3084" width="9.25" style="40" customWidth="1"/>
    <col min="3085" max="3085" width="1" style="40" customWidth="1"/>
    <col min="3086" max="3086" width="9" style="40"/>
    <col min="3087" max="3087" width="9.5" style="40" customWidth="1"/>
    <col min="3088" max="3333" width="9" style="40"/>
    <col min="3334" max="3334" width="1.25" style="40" customWidth="1"/>
    <col min="3335" max="3335" width="4.875" style="40" customWidth="1"/>
    <col min="3336" max="3336" width="25" style="40" customWidth="1"/>
    <col min="3337" max="3337" width="17.5" style="40" customWidth="1"/>
    <col min="3338" max="3338" width="7.125" style="40" customWidth="1"/>
    <col min="3339" max="3339" width="9.75" style="40" customWidth="1"/>
    <col min="3340" max="3340" width="9.25" style="40" customWidth="1"/>
    <col min="3341" max="3341" width="1" style="40" customWidth="1"/>
    <col min="3342" max="3342" width="9" style="40"/>
    <col min="3343" max="3343" width="9.5" style="40" customWidth="1"/>
    <col min="3344" max="3589" width="9" style="40"/>
    <col min="3590" max="3590" width="1.25" style="40" customWidth="1"/>
    <col min="3591" max="3591" width="4.875" style="40" customWidth="1"/>
    <col min="3592" max="3592" width="25" style="40" customWidth="1"/>
    <col min="3593" max="3593" width="17.5" style="40" customWidth="1"/>
    <col min="3594" max="3594" width="7.125" style="40" customWidth="1"/>
    <col min="3595" max="3595" width="9.75" style="40" customWidth="1"/>
    <col min="3596" max="3596" width="9.25" style="40" customWidth="1"/>
    <col min="3597" max="3597" width="1" style="40" customWidth="1"/>
    <col min="3598" max="3598" width="9" style="40"/>
    <col min="3599" max="3599" width="9.5" style="40" customWidth="1"/>
    <col min="3600" max="3845" width="9" style="40"/>
    <col min="3846" max="3846" width="1.25" style="40" customWidth="1"/>
    <col min="3847" max="3847" width="4.875" style="40" customWidth="1"/>
    <col min="3848" max="3848" width="25" style="40" customWidth="1"/>
    <col min="3849" max="3849" width="17.5" style="40" customWidth="1"/>
    <col min="3850" max="3850" width="7.125" style="40" customWidth="1"/>
    <col min="3851" max="3851" width="9.75" style="40" customWidth="1"/>
    <col min="3852" max="3852" width="9.25" style="40" customWidth="1"/>
    <col min="3853" max="3853" width="1" style="40" customWidth="1"/>
    <col min="3854" max="3854" width="9" style="40"/>
    <col min="3855" max="3855" width="9.5" style="40" customWidth="1"/>
    <col min="3856" max="4101" width="9" style="40"/>
    <col min="4102" max="4102" width="1.25" style="40" customWidth="1"/>
    <col min="4103" max="4103" width="4.875" style="40" customWidth="1"/>
    <col min="4104" max="4104" width="25" style="40" customWidth="1"/>
    <col min="4105" max="4105" width="17.5" style="40" customWidth="1"/>
    <col min="4106" max="4106" width="7.125" style="40" customWidth="1"/>
    <col min="4107" max="4107" width="9.75" style="40" customWidth="1"/>
    <col min="4108" max="4108" width="9.25" style="40" customWidth="1"/>
    <col min="4109" max="4109" width="1" style="40" customWidth="1"/>
    <col min="4110" max="4110" width="9" style="40"/>
    <col min="4111" max="4111" width="9.5" style="40" customWidth="1"/>
    <col min="4112" max="4357" width="9" style="40"/>
    <col min="4358" max="4358" width="1.25" style="40" customWidth="1"/>
    <col min="4359" max="4359" width="4.875" style="40" customWidth="1"/>
    <col min="4360" max="4360" width="25" style="40" customWidth="1"/>
    <col min="4361" max="4361" width="17.5" style="40" customWidth="1"/>
    <col min="4362" max="4362" width="7.125" style="40" customWidth="1"/>
    <col min="4363" max="4363" width="9.75" style="40" customWidth="1"/>
    <col min="4364" max="4364" width="9.25" style="40" customWidth="1"/>
    <col min="4365" max="4365" width="1" style="40" customWidth="1"/>
    <col min="4366" max="4366" width="9" style="40"/>
    <col min="4367" max="4367" width="9.5" style="40" customWidth="1"/>
    <col min="4368" max="4613" width="9" style="40"/>
    <col min="4614" max="4614" width="1.25" style="40" customWidth="1"/>
    <col min="4615" max="4615" width="4.875" style="40" customWidth="1"/>
    <col min="4616" max="4616" width="25" style="40" customWidth="1"/>
    <col min="4617" max="4617" width="17.5" style="40" customWidth="1"/>
    <col min="4618" max="4618" width="7.125" style="40" customWidth="1"/>
    <col min="4619" max="4619" width="9.75" style="40" customWidth="1"/>
    <col min="4620" max="4620" width="9.25" style="40" customWidth="1"/>
    <col min="4621" max="4621" width="1" style="40" customWidth="1"/>
    <col min="4622" max="4622" width="9" style="40"/>
    <col min="4623" max="4623" width="9.5" style="40" customWidth="1"/>
    <col min="4624" max="4869" width="9" style="40"/>
    <col min="4870" max="4870" width="1.25" style="40" customWidth="1"/>
    <col min="4871" max="4871" width="4.875" style="40" customWidth="1"/>
    <col min="4872" max="4872" width="25" style="40" customWidth="1"/>
    <col min="4873" max="4873" width="17.5" style="40" customWidth="1"/>
    <col min="4874" max="4874" width="7.125" style="40" customWidth="1"/>
    <col min="4875" max="4875" width="9.75" style="40" customWidth="1"/>
    <col min="4876" max="4876" width="9.25" style="40" customWidth="1"/>
    <col min="4877" max="4877" width="1" style="40" customWidth="1"/>
    <col min="4878" max="4878" width="9" style="40"/>
    <col min="4879" max="4879" width="9.5" style="40" customWidth="1"/>
    <col min="4880" max="5125" width="9" style="40"/>
    <col min="5126" max="5126" width="1.25" style="40" customWidth="1"/>
    <col min="5127" max="5127" width="4.875" style="40" customWidth="1"/>
    <col min="5128" max="5128" width="25" style="40" customWidth="1"/>
    <col min="5129" max="5129" width="17.5" style="40" customWidth="1"/>
    <col min="5130" max="5130" width="7.125" style="40" customWidth="1"/>
    <col min="5131" max="5131" width="9.75" style="40" customWidth="1"/>
    <col min="5132" max="5132" width="9.25" style="40" customWidth="1"/>
    <col min="5133" max="5133" width="1" style="40" customWidth="1"/>
    <col min="5134" max="5134" width="9" style="40"/>
    <col min="5135" max="5135" width="9.5" style="40" customWidth="1"/>
    <col min="5136" max="5381" width="9" style="40"/>
    <col min="5382" max="5382" width="1.25" style="40" customWidth="1"/>
    <col min="5383" max="5383" width="4.875" style="40" customWidth="1"/>
    <col min="5384" max="5384" width="25" style="40" customWidth="1"/>
    <col min="5385" max="5385" width="17.5" style="40" customWidth="1"/>
    <col min="5386" max="5386" width="7.125" style="40" customWidth="1"/>
    <col min="5387" max="5387" width="9.75" style="40" customWidth="1"/>
    <col min="5388" max="5388" width="9.25" style="40" customWidth="1"/>
    <col min="5389" max="5389" width="1" style="40" customWidth="1"/>
    <col min="5390" max="5390" width="9" style="40"/>
    <col min="5391" max="5391" width="9.5" style="40" customWidth="1"/>
    <col min="5392" max="5637" width="9" style="40"/>
    <col min="5638" max="5638" width="1.25" style="40" customWidth="1"/>
    <col min="5639" max="5639" width="4.875" style="40" customWidth="1"/>
    <col min="5640" max="5640" width="25" style="40" customWidth="1"/>
    <col min="5641" max="5641" width="17.5" style="40" customWidth="1"/>
    <col min="5642" max="5642" width="7.125" style="40" customWidth="1"/>
    <col min="5643" max="5643" width="9.75" style="40" customWidth="1"/>
    <col min="5644" max="5644" width="9.25" style="40" customWidth="1"/>
    <col min="5645" max="5645" width="1" style="40" customWidth="1"/>
    <col min="5646" max="5646" width="9" style="40"/>
    <col min="5647" max="5647" width="9.5" style="40" customWidth="1"/>
    <col min="5648" max="5893" width="9" style="40"/>
    <col min="5894" max="5894" width="1.25" style="40" customWidth="1"/>
    <col min="5895" max="5895" width="4.875" style="40" customWidth="1"/>
    <col min="5896" max="5896" width="25" style="40" customWidth="1"/>
    <col min="5897" max="5897" width="17.5" style="40" customWidth="1"/>
    <col min="5898" max="5898" width="7.125" style="40" customWidth="1"/>
    <col min="5899" max="5899" width="9.75" style="40" customWidth="1"/>
    <col min="5900" max="5900" width="9.25" style="40" customWidth="1"/>
    <col min="5901" max="5901" width="1" style="40" customWidth="1"/>
    <col min="5902" max="5902" width="9" style="40"/>
    <col min="5903" max="5903" width="9.5" style="40" customWidth="1"/>
    <col min="5904" max="6149" width="9" style="40"/>
    <col min="6150" max="6150" width="1.25" style="40" customWidth="1"/>
    <col min="6151" max="6151" width="4.875" style="40" customWidth="1"/>
    <col min="6152" max="6152" width="25" style="40" customWidth="1"/>
    <col min="6153" max="6153" width="17.5" style="40" customWidth="1"/>
    <col min="6154" max="6154" width="7.125" style="40" customWidth="1"/>
    <col min="6155" max="6155" width="9.75" style="40" customWidth="1"/>
    <col min="6156" max="6156" width="9.25" style="40" customWidth="1"/>
    <col min="6157" max="6157" width="1" style="40" customWidth="1"/>
    <col min="6158" max="6158" width="9" style="40"/>
    <col min="6159" max="6159" width="9.5" style="40" customWidth="1"/>
    <col min="6160" max="6405" width="9" style="40"/>
    <col min="6406" max="6406" width="1.25" style="40" customWidth="1"/>
    <col min="6407" max="6407" width="4.875" style="40" customWidth="1"/>
    <col min="6408" max="6408" width="25" style="40" customWidth="1"/>
    <col min="6409" max="6409" width="17.5" style="40" customWidth="1"/>
    <col min="6410" max="6410" width="7.125" style="40" customWidth="1"/>
    <col min="6411" max="6411" width="9.75" style="40" customWidth="1"/>
    <col min="6412" max="6412" width="9.25" style="40" customWidth="1"/>
    <col min="6413" max="6413" width="1" style="40" customWidth="1"/>
    <col min="6414" max="6414" width="9" style="40"/>
    <col min="6415" max="6415" width="9.5" style="40" customWidth="1"/>
    <col min="6416" max="6661" width="9" style="40"/>
    <col min="6662" max="6662" width="1.25" style="40" customWidth="1"/>
    <col min="6663" max="6663" width="4.875" style="40" customWidth="1"/>
    <col min="6664" max="6664" width="25" style="40" customWidth="1"/>
    <col min="6665" max="6665" width="17.5" style="40" customWidth="1"/>
    <col min="6666" max="6666" width="7.125" style="40" customWidth="1"/>
    <col min="6667" max="6667" width="9.75" style="40" customWidth="1"/>
    <col min="6668" max="6668" width="9.25" style="40" customWidth="1"/>
    <col min="6669" max="6669" width="1" style="40" customWidth="1"/>
    <col min="6670" max="6670" width="9" style="40"/>
    <col min="6671" max="6671" width="9.5" style="40" customWidth="1"/>
    <col min="6672" max="6917" width="9" style="40"/>
    <col min="6918" max="6918" width="1.25" style="40" customWidth="1"/>
    <col min="6919" max="6919" width="4.875" style="40" customWidth="1"/>
    <col min="6920" max="6920" width="25" style="40" customWidth="1"/>
    <col min="6921" max="6921" width="17.5" style="40" customWidth="1"/>
    <col min="6922" max="6922" width="7.125" style="40" customWidth="1"/>
    <col min="6923" max="6923" width="9.75" style="40" customWidth="1"/>
    <col min="6924" max="6924" width="9.25" style="40" customWidth="1"/>
    <col min="6925" max="6925" width="1" style="40" customWidth="1"/>
    <col min="6926" max="6926" width="9" style="40"/>
    <col min="6927" max="6927" width="9.5" style="40" customWidth="1"/>
    <col min="6928" max="7173" width="9" style="40"/>
    <col min="7174" max="7174" width="1.25" style="40" customWidth="1"/>
    <col min="7175" max="7175" width="4.875" style="40" customWidth="1"/>
    <col min="7176" max="7176" width="25" style="40" customWidth="1"/>
    <col min="7177" max="7177" width="17.5" style="40" customWidth="1"/>
    <col min="7178" max="7178" width="7.125" style="40" customWidth="1"/>
    <col min="7179" max="7179" width="9.75" style="40" customWidth="1"/>
    <col min="7180" max="7180" width="9.25" style="40" customWidth="1"/>
    <col min="7181" max="7181" width="1" style="40" customWidth="1"/>
    <col min="7182" max="7182" width="9" style="40"/>
    <col min="7183" max="7183" width="9.5" style="40" customWidth="1"/>
    <col min="7184" max="7429" width="9" style="40"/>
    <col min="7430" max="7430" width="1.25" style="40" customWidth="1"/>
    <col min="7431" max="7431" width="4.875" style="40" customWidth="1"/>
    <col min="7432" max="7432" width="25" style="40" customWidth="1"/>
    <col min="7433" max="7433" width="17.5" style="40" customWidth="1"/>
    <col min="7434" max="7434" width="7.125" style="40" customWidth="1"/>
    <col min="7435" max="7435" width="9.75" style="40" customWidth="1"/>
    <col min="7436" max="7436" width="9.25" style="40" customWidth="1"/>
    <col min="7437" max="7437" width="1" style="40" customWidth="1"/>
    <col min="7438" max="7438" width="9" style="40"/>
    <col min="7439" max="7439" width="9.5" style="40" customWidth="1"/>
    <col min="7440" max="7685" width="9" style="40"/>
    <col min="7686" max="7686" width="1.25" style="40" customWidth="1"/>
    <col min="7687" max="7687" width="4.875" style="40" customWidth="1"/>
    <col min="7688" max="7688" width="25" style="40" customWidth="1"/>
    <col min="7689" max="7689" width="17.5" style="40" customWidth="1"/>
    <col min="7690" max="7690" width="7.125" style="40" customWidth="1"/>
    <col min="7691" max="7691" width="9.75" style="40" customWidth="1"/>
    <col min="7692" max="7692" width="9.25" style="40" customWidth="1"/>
    <col min="7693" max="7693" width="1" style="40" customWidth="1"/>
    <col min="7694" max="7694" width="9" style="40"/>
    <col min="7695" max="7695" width="9.5" style="40" customWidth="1"/>
    <col min="7696" max="7941" width="9" style="40"/>
    <col min="7942" max="7942" width="1.25" style="40" customWidth="1"/>
    <col min="7943" max="7943" width="4.875" style="40" customWidth="1"/>
    <col min="7944" max="7944" width="25" style="40" customWidth="1"/>
    <col min="7945" max="7945" width="17.5" style="40" customWidth="1"/>
    <col min="7946" max="7946" width="7.125" style="40" customWidth="1"/>
    <col min="7947" max="7947" width="9.75" style="40" customWidth="1"/>
    <col min="7948" max="7948" width="9.25" style="40" customWidth="1"/>
    <col min="7949" max="7949" width="1" style="40" customWidth="1"/>
    <col min="7950" max="7950" width="9" style="40"/>
    <col min="7951" max="7951" width="9.5" style="40" customWidth="1"/>
    <col min="7952" max="8197" width="9" style="40"/>
    <col min="8198" max="8198" width="1.25" style="40" customWidth="1"/>
    <col min="8199" max="8199" width="4.875" style="40" customWidth="1"/>
    <col min="8200" max="8200" width="25" style="40" customWidth="1"/>
    <col min="8201" max="8201" width="17.5" style="40" customWidth="1"/>
    <col min="8202" max="8202" width="7.125" style="40" customWidth="1"/>
    <col min="8203" max="8203" width="9.75" style="40" customWidth="1"/>
    <col min="8204" max="8204" width="9.25" style="40" customWidth="1"/>
    <col min="8205" max="8205" width="1" style="40" customWidth="1"/>
    <col min="8206" max="8206" width="9" style="40"/>
    <col min="8207" max="8207" width="9.5" style="40" customWidth="1"/>
    <col min="8208" max="8453" width="9" style="40"/>
    <col min="8454" max="8454" width="1.25" style="40" customWidth="1"/>
    <col min="8455" max="8455" width="4.875" style="40" customWidth="1"/>
    <col min="8456" max="8456" width="25" style="40" customWidth="1"/>
    <col min="8457" max="8457" width="17.5" style="40" customWidth="1"/>
    <col min="8458" max="8458" width="7.125" style="40" customWidth="1"/>
    <col min="8459" max="8459" width="9.75" style="40" customWidth="1"/>
    <col min="8460" max="8460" width="9.25" style="40" customWidth="1"/>
    <col min="8461" max="8461" width="1" style="40" customWidth="1"/>
    <col min="8462" max="8462" width="9" style="40"/>
    <col min="8463" max="8463" width="9.5" style="40" customWidth="1"/>
    <col min="8464" max="8709" width="9" style="40"/>
    <col min="8710" max="8710" width="1.25" style="40" customWidth="1"/>
    <col min="8711" max="8711" width="4.875" style="40" customWidth="1"/>
    <col min="8712" max="8712" width="25" style="40" customWidth="1"/>
    <col min="8713" max="8713" width="17.5" style="40" customWidth="1"/>
    <col min="8714" max="8714" width="7.125" style="40" customWidth="1"/>
    <col min="8715" max="8715" width="9.75" style="40" customWidth="1"/>
    <col min="8716" max="8716" width="9.25" style="40" customWidth="1"/>
    <col min="8717" max="8717" width="1" style="40" customWidth="1"/>
    <col min="8718" max="8718" width="9" style="40"/>
    <col min="8719" max="8719" width="9.5" style="40" customWidth="1"/>
    <col min="8720" max="8965" width="9" style="40"/>
    <col min="8966" max="8966" width="1.25" style="40" customWidth="1"/>
    <col min="8967" max="8967" width="4.875" style="40" customWidth="1"/>
    <col min="8968" max="8968" width="25" style="40" customWidth="1"/>
    <col min="8969" max="8969" width="17.5" style="40" customWidth="1"/>
    <col min="8970" max="8970" width="7.125" style="40" customWidth="1"/>
    <col min="8971" max="8971" width="9.75" style="40" customWidth="1"/>
    <col min="8972" max="8972" width="9.25" style="40" customWidth="1"/>
    <col min="8973" max="8973" width="1" style="40" customWidth="1"/>
    <col min="8974" max="8974" width="9" style="40"/>
    <col min="8975" max="8975" width="9.5" style="40" customWidth="1"/>
    <col min="8976" max="9221" width="9" style="40"/>
    <col min="9222" max="9222" width="1.25" style="40" customWidth="1"/>
    <col min="9223" max="9223" width="4.875" style="40" customWidth="1"/>
    <col min="9224" max="9224" width="25" style="40" customWidth="1"/>
    <col min="9225" max="9225" width="17.5" style="40" customWidth="1"/>
    <col min="9226" max="9226" width="7.125" style="40" customWidth="1"/>
    <col min="9227" max="9227" width="9.75" style="40" customWidth="1"/>
    <col min="9228" max="9228" width="9.25" style="40" customWidth="1"/>
    <col min="9229" max="9229" width="1" style="40" customWidth="1"/>
    <col min="9230" max="9230" width="9" style="40"/>
    <col min="9231" max="9231" width="9.5" style="40" customWidth="1"/>
    <col min="9232" max="9477" width="9" style="40"/>
    <col min="9478" max="9478" width="1.25" style="40" customWidth="1"/>
    <col min="9479" max="9479" width="4.875" style="40" customWidth="1"/>
    <col min="9480" max="9480" width="25" style="40" customWidth="1"/>
    <col min="9481" max="9481" width="17.5" style="40" customWidth="1"/>
    <col min="9482" max="9482" width="7.125" style="40" customWidth="1"/>
    <col min="9483" max="9483" width="9.75" style="40" customWidth="1"/>
    <col min="9484" max="9484" width="9.25" style="40" customWidth="1"/>
    <col min="9485" max="9485" width="1" style="40" customWidth="1"/>
    <col min="9486" max="9486" width="9" style="40"/>
    <col min="9487" max="9487" width="9.5" style="40" customWidth="1"/>
    <col min="9488" max="9733" width="9" style="40"/>
    <col min="9734" max="9734" width="1.25" style="40" customWidth="1"/>
    <col min="9735" max="9735" width="4.875" style="40" customWidth="1"/>
    <col min="9736" max="9736" width="25" style="40" customWidth="1"/>
    <col min="9737" max="9737" width="17.5" style="40" customWidth="1"/>
    <col min="9738" max="9738" width="7.125" style="40" customWidth="1"/>
    <col min="9739" max="9739" width="9.75" style="40" customWidth="1"/>
    <col min="9740" max="9740" width="9.25" style="40" customWidth="1"/>
    <col min="9741" max="9741" width="1" style="40" customWidth="1"/>
    <col min="9742" max="9742" width="9" style="40"/>
    <col min="9743" max="9743" width="9.5" style="40" customWidth="1"/>
    <col min="9744" max="9989" width="9" style="40"/>
    <col min="9990" max="9990" width="1.25" style="40" customWidth="1"/>
    <col min="9991" max="9991" width="4.875" style="40" customWidth="1"/>
    <col min="9992" max="9992" width="25" style="40" customWidth="1"/>
    <col min="9993" max="9993" width="17.5" style="40" customWidth="1"/>
    <col min="9994" max="9994" width="7.125" style="40" customWidth="1"/>
    <col min="9995" max="9995" width="9.75" style="40" customWidth="1"/>
    <col min="9996" max="9996" width="9.25" style="40" customWidth="1"/>
    <col min="9997" max="9997" width="1" style="40" customWidth="1"/>
    <col min="9998" max="9998" width="9" style="40"/>
    <col min="9999" max="9999" width="9.5" style="40" customWidth="1"/>
    <col min="10000" max="10245" width="9" style="40"/>
    <col min="10246" max="10246" width="1.25" style="40" customWidth="1"/>
    <col min="10247" max="10247" width="4.875" style="40" customWidth="1"/>
    <col min="10248" max="10248" width="25" style="40" customWidth="1"/>
    <col min="10249" max="10249" width="17.5" style="40" customWidth="1"/>
    <col min="10250" max="10250" width="7.125" style="40" customWidth="1"/>
    <col min="10251" max="10251" width="9.75" style="40" customWidth="1"/>
    <col min="10252" max="10252" width="9.25" style="40" customWidth="1"/>
    <col min="10253" max="10253" width="1" style="40" customWidth="1"/>
    <col min="10254" max="10254" width="9" style="40"/>
    <col min="10255" max="10255" width="9.5" style="40" customWidth="1"/>
    <col min="10256" max="10501" width="9" style="40"/>
    <col min="10502" max="10502" width="1.25" style="40" customWidth="1"/>
    <col min="10503" max="10503" width="4.875" style="40" customWidth="1"/>
    <col min="10504" max="10504" width="25" style="40" customWidth="1"/>
    <col min="10505" max="10505" width="17.5" style="40" customWidth="1"/>
    <col min="10506" max="10506" width="7.125" style="40" customWidth="1"/>
    <col min="10507" max="10507" width="9.75" style="40" customWidth="1"/>
    <col min="10508" max="10508" width="9.25" style="40" customWidth="1"/>
    <col min="10509" max="10509" width="1" style="40" customWidth="1"/>
    <col min="10510" max="10510" width="9" style="40"/>
    <col min="10511" max="10511" width="9.5" style="40" customWidth="1"/>
    <col min="10512" max="10757" width="9" style="40"/>
    <col min="10758" max="10758" width="1.25" style="40" customWidth="1"/>
    <col min="10759" max="10759" width="4.875" style="40" customWidth="1"/>
    <col min="10760" max="10760" width="25" style="40" customWidth="1"/>
    <col min="10761" max="10761" width="17.5" style="40" customWidth="1"/>
    <col min="10762" max="10762" width="7.125" style="40" customWidth="1"/>
    <col min="10763" max="10763" width="9.75" style="40" customWidth="1"/>
    <col min="10764" max="10764" width="9.25" style="40" customWidth="1"/>
    <col min="10765" max="10765" width="1" style="40" customWidth="1"/>
    <col min="10766" max="10766" width="9" style="40"/>
    <col min="10767" max="10767" width="9.5" style="40" customWidth="1"/>
    <col min="10768" max="11013" width="9" style="40"/>
    <col min="11014" max="11014" width="1.25" style="40" customWidth="1"/>
    <col min="11015" max="11015" width="4.875" style="40" customWidth="1"/>
    <col min="11016" max="11016" width="25" style="40" customWidth="1"/>
    <col min="11017" max="11017" width="17.5" style="40" customWidth="1"/>
    <col min="11018" max="11018" width="7.125" style="40" customWidth="1"/>
    <col min="11019" max="11019" width="9.75" style="40" customWidth="1"/>
    <col min="11020" max="11020" width="9.25" style="40" customWidth="1"/>
    <col min="11021" max="11021" width="1" style="40" customWidth="1"/>
    <col min="11022" max="11022" width="9" style="40"/>
    <col min="11023" max="11023" width="9.5" style="40" customWidth="1"/>
    <col min="11024" max="11269" width="9" style="40"/>
    <col min="11270" max="11270" width="1.25" style="40" customWidth="1"/>
    <col min="11271" max="11271" width="4.875" style="40" customWidth="1"/>
    <col min="11272" max="11272" width="25" style="40" customWidth="1"/>
    <col min="11273" max="11273" width="17.5" style="40" customWidth="1"/>
    <col min="11274" max="11274" width="7.125" style="40" customWidth="1"/>
    <col min="11275" max="11275" width="9.75" style="40" customWidth="1"/>
    <col min="11276" max="11276" width="9.25" style="40" customWidth="1"/>
    <col min="11277" max="11277" width="1" style="40" customWidth="1"/>
    <col min="11278" max="11278" width="9" style="40"/>
    <col min="11279" max="11279" width="9.5" style="40" customWidth="1"/>
    <col min="11280" max="11525" width="9" style="40"/>
    <col min="11526" max="11526" width="1.25" style="40" customWidth="1"/>
    <col min="11527" max="11527" width="4.875" style="40" customWidth="1"/>
    <col min="11528" max="11528" width="25" style="40" customWidth="1"/>
    <col min="11529" max="11529" width="17.5" style="40" customWidth="1"/>
    <col min="11530" max="11530" width="7.125" style="40" customWidth="1"/>
    <col min="11531" max="11531" width="9.75" style="40" customWidth="1"/>
    <col min="11532" max="11532" width="9.25" style="40" customWidth="1"/>
    <col min="11533" max="11533" width="1" style="40" customWidth="1"/>
    <col min="11534" max="11534" width="9" style="40"/>
    <col min="11535" max="11535" width="9.5" style="40" customWidth="1"/>
    <col min="11536" max="11781" width="9" style="40"/>
    <col min="11782" max="11782" width="1.25" style="40" customWidth="1"/>
    <col min="11783" max="11783" width="4.875" style="40" customWidth="1"/>
    <col min="11784" max="11784" width="25" style="40" customWidth="1"/>
    <col min="11785" max="11785" width="17.5" style="40" customWidth="1"/>
    <col min="11786" max="11786" width="7.125" style="40" customWidth="1"/>
    <col min="11787" max="11787" width="9.75" style="40" customWidth="1"/>
    <col min="11788" max="11788" width="9.25" style="40" customWidth="1"/>
    <col min="11789" max="11789" width="1" style="40" customWidth="1"/>
    <col min="11790" max="11790" width="9" style="40"/>
    <col min="11791" max="11791" width="9.5" style="40" customWidth="1"/>
    <col min="11792" max="12037" width="9" style="40"/>
    <col min="12038" max="12038" width="1.25" style="40" customWidth="1"/>
    <col min="12039" max="12039" width="4.875" style="40" customWidth="1"/>
    <col min="12040" max="12040" width="25" style="40" customWidth="1"/>
    <col min="12041" max="12041" width="17.5" style="40" customWidth="1"/>
    <col min="12042" max="12042" width="7.125" style="40" customWidth="1"/>
    <col min="12043" max="12043" width="9.75" style="40" customWidth="1"/>
    <col min="12044" max="12044" width="9.25" style="40" customWidth="1"/>
    <col min="12045" max="12045" width="1" style="40" customWidth="1"/>
    <col min="12046" max="12046" width="9" style="40"/>
    <col min="12047" max="12047" width="9.5" style="40" customWidth="1"/>
    <col min="12048" max="12293" width="9" style="40"/>
    <col min="12294" max="12294" width="1.25" style="40" customWidth="1"/>
    <col min="12295" max="12295" width="4.875" style="40" customWidth="1"/>
    <col min="12296" max="12296" width="25" style="40" customWidth="1"/>
    <col min="12297" max="12297" width="17.5" style="40" customWidth="1"/>
    <col min="12298" max="12298" width="7.125" style="40" customWidth="1"/>
    <col min="12299" max="12299" width="9.75" style="40" customWidth="1"/>
    <col min="12300" max="12300" width="9.25" style="40" customWidth="1"/>
    <col min="12301" max="12301" width="1" style="40" customWidth="1"/>
    <col min="12302" max="12302" width="9" style="40"/>
    <col min="12303" max="12303" width="9.5" style="40" customWidth="1"/>
    <col min="12304" max="12549" width="9" style="40"/>
    <col min="12550" max="12550" width="1.25" style="40" customWidth="1"/>
    <col min="12551" max="12551" width="4.875" style="40" customWidth="1"/>
    <col min="12552" max="12552" width="25" style="40" customWidth="1"/>
    <col min="12553" max="12553" width="17.5" style="40" customWidth="1"/>
    <col min="12554" max="12554" width="7.125" style="40" customWidth="1"/>
    <col min="12555" max="12555" width="9.75" style="40" customWidth="1"/>
    <col min="12556" max="12556" width="9.25" style="40" customWidth="1"/>
    <col min="12557" max="12557" width="1" style="40" customWidth="1"/>
    <col min="12558" max="12558" width="9" style="40"/>
    <col min="12559" max="12559" width="9.5" style="40" customWidth="1"/>
    <col min="12560" max="12805" width="9" style="40"/>
    <col min="12806" max="12806" width="1.25" style="40" customWidth="1"/>
    <col min="12807" max="12807" width="4.875" style="40" customWidth="1"/>
    <col min="12808" max="12808" width="25" style="40" customWidth="1"/>
    <col min="12809" max="12809" width="17.5" style="40" customWidth="1"/>
    <col min="12810" max="12810" width="7.125" style="40" customWidth="1"/>
    <col min="12811" max="12811" width="9.75" style="40" customWidth="1"/>
    <col min="12812" max="12812" width="9.25" style="40" customWidth="1"/>
    <col min="12813" max="12813" width="1" style="40" customWidth="1"/>
    <col min="12814" max="12814" width="9" style="40"/>
    <col min="12815" max="12815" width="9.5" style="40" customWidth="1"/>
    <col min="12816" max="13061" width="9" style="40"/>
    <col min="13062" max="13062" width="1.25" style="40" customWidth="1"/>
    <col min="13063" max="13063" width="4.875" style="40" customWidth="1"/>
    <col min="13064" max="13064" width="25" style="40" customWidth="1"/>
    <col min="13065" max="13065" width="17.5" style="40" customWidth="1"/>
    <col min="13066" max="13066" width="7.125" style="40" customWidth="1"/>
    <col min="13067" max="13067" width="9.75" style="40" customWidth="1"/>
    <col min="13068" max="13068" width="9.25" style="40" customWidth="1"/>
    <col min="13069" max="13069" width="1" style="40" customWidth="1"/>
    <col min="13070" max="13070" width="9" style="40"/>
    <col min="13071" max="13071" width="9.5" style="40" customWidth="1"/>
    <col min="13072" max="13317" width="9" style="40"/>
    <col min="13318" max="13318" width="1.25" style="40" customWidth="1"/>
    <col min="13319" max="13319" width="4.875" style="40" customWidth="1"/>
    <col min="13320" max="13320" width="25" style="40" customWidth="1"/>
    <col min="13321" max="13321" width="17.5" style="40" customWidth="1"/>
    <col min="13322" max="13322" width="7.125" style="40" customWidth="1"/>
    <col min="13323" max="13323" width="9.75" style="40" customWidth="1"/>
    <col min="13324" max="13324" width="9.25" style="40" customWidth="1"/>
    <col min="13325" max="13325" width="1" style="40" customWidth="1"/>
    <col min="13326" max="13326" width="9" style="40"/>
    <col min="13327" max="13327" width="9.5" style="40" customWidth="1"/>
    <col min="13328" max="13573" width="9" style="40"/>
    <col min="13574" max="13574" width="1.25" style="40" customWidth="1"/>
    <col min="13575" max="13575" width="4.875" style="40" customWidth="1"/>
    <col min="13576" max="13576" width="25" style="40" customWidth="1"/>
    <col min="13577" max="13577" width="17.5" style="40" customWidth="1"/>
    <col min="13578" max="13578" width="7.125" style="40" customWidth="1"/>
    <col min="13579" max="13579" width="9.75" style="40" customWidth="1"/>
    <col min="13580" max="13580" width="9.25" style="40" customWidth="1"/>
    <col min="13581" max="13581" width="1" style="40" customWidth="1"/>
    <col min="13582" max="13582" width="9" style="40"/>
    <col min="13583" max="13583" width="9.5" style="40" customWidth="1"/>
    <col min="13584" max="13829" width="9" style="40"/>
    <col min="13830" max="13830" width="1.25" style="40" customWidth="1"/>
    <col min="13831" max="13831" width="4.875" style="40" customWidth="1"/>
    <col min="13832" max="13832" width="25" style="40" customWidth="1"/>
    <col min="13833" max="13833" width="17.5" style="40" customWidth="1"/>
    <col min="13834" max="13834" width="7.125" style="40" customWidth="1"/>
    <col min="13835" max="13835" width="9.75" style="40" customWidth="1"/>
    <col min="13836" max="13836" width="9.25" style="40" customWidth="1"/>
    <col min="13837" max="13837" width="1" style="40" customWidth="1"/>
    <col min="13838" max="13838" width="9" style="40"/>
    <col min="13839" max="13839" width="9.5" style="40" customWidth="1"/>
    <col min="13840" max="14085" width="9" style="40"/>
    <col min="14086" max="14086" width="1.25" style="40" customWidth="1"/>
    <col min="14087" max="14087" width="4.875" style="40" customWidth="1"/>
    <col min="14088" max="14088" width="25" style="40" customWidth="1"/>
    <col min="14089" max="14089" width="17.5" style="40" customWidth="1"/>
    <col min="14090" max="14090" width="7.125" style="40" customWidth="1"/>
    <col min="14091" max="14091" width="9.75" style="40" customWidth="1"/>
    <col min="14092" max="14092" width="9.25" style="40" customWidth="1"/>
    <col min="14093" max="14093" width="1" style="40" customWidth="1"/>
    <col min="14094" max="14094" width="9" style="40"/>
    <col min="14095" max="14095" width="9.5" style="40" customWidth="1"/>
    <col min="14096" max="14341" width="9" style="40"/>
    <col min="14342" max="14342" width="1.25" style="40" customWidth="1"/>
    <col min="14343" max="14343" width="4.875" style="40" customWidth="1"/>
    <col min="14344" max="14344" width="25" style="40" customWidth="1"/>
    <col min="14345" max="14345" width="17.5" style="40" customWidth="1"/>
    <col min="14346" max="14346" width="7.125" style="40" customWidth="1"/>
    <col min="14347" max="14347" width="9.75" style="40" customWidth="1"/>
    <col min="14348" max="14348" width="9.25" style="40" customWidth="1"/>
    <col min="14349" max="14349" width="1" style="40" customWidth="1"/>
    <col min="14350" max="14350" width="9" style="40"/>
    <col min="14351" max="14351" width="9.5" style="40" customWidth="1"/>
    <col min="14352" max="14597" width="9" style="40"/>
    <col min="14598" max="14598" width="1.25" style="40" customWidth="1"/>
    <col min="14599" max="14599" width="4.875" style="40" customWidth="1"/>
    <col min="14600" max="14600" width="25" style="40" customWidth="1"/>
    <col min="14601" max="14601" width="17.5" style="40" customWidth="1"/>
    <col min="14602" max="14602" width="7.125" style="40" customWidth="1"/>
    <col min="14603" max="14603" width="9.75" style="40" customWidth="1"/>
    <col min="14604" max="14604" width="9.25" style="40" customWidth="1"/>
    <col min="14605" max="14605" width="1" style="40" customWidth="1"/>
    <col min="14606" max="14606" width="9" style="40"/>
    <col min="14607" max="14607" width="9.5" style="40" customWidth="1"/>
    <col min="14608" max="14853" width="9" style="40"/>
    <col min="14854" max="14854" width="1.25" style="40" customWidth="1"/>
    <col min="14855" max="14855" width="4.875" style="40" customWidth="1"/>
    <col min="14856" max="14856" width="25" style="40" customWidth="1"/>
    <col min="14857" max="14857" width="17.5" style="40" customWidth="1"/>
    <col min="14858" max="14858" width="7.125" style="40" customWidth="1"/>
    <col min="14859" max="14859" width="9.75" style="40" customWidth="1"/>
    <col min="14860" max="14860" width="9.25" style="40" customWidth="1"/>
    <col min="14861" max="14861" width="1" style="40" customWidth="1"/>
    <col min="14862" max="14862" width="9" style="40"/>
    <col min="14863" max="14863" width="9.5" style="40" customWidth="1"/>
    <col min="14864" max="15109" width="9" style="40"/>
    <col min="15110" max="15110" width="1.25" style="40" customWidth="1"/>
    <col min="15111" max="15111" width="4.875" style="40" customWidth="1"/>
    <col min="15112" max="15112" width="25" style="40" customWidth="1"/>
    <col min="15113" max="15113" width="17.5" style="40" customWidth="1"/>
    <col min="15114" max="15114" width="7.125" style="40" customWidth="1"/>
    <col min="15115" max="15115" width="9.75" style="40" customWidth="1"/>
    <col min="15116" max="15116" width="9.25" style="40" customWidth="1"/>
    <col min="15117" max="15117" width="1" style="40" customWidth="1"/>
    <col min="15118" max="15118" width="9" style="40"/>
    <col min="15119" max="15119" width="9.5" style="40" customWidth="1"/>
    <col min="15120" max="15365" width="9" style="40"/>
    <col min="15366" max="15366" width="1.25" style="40" customWidth="1"/>
    <col min="15367" max="15367" width="4.875" style="40" customWidth="1"/>
    <col min="15368" max="15368" width="25" style="40" customWidth="1"/>
    <col min="15369" max="15369" width="17.5" style="40" customWidth="1"/>
    <col min="15370" max="15370" width="7.125" style="40" customWidth="1"/>
    <col min="15371" max="15371" width="9.75" style="40" customWidth="1"/>
    <col min="15372" max="15372" width="9.25" style="40" customWidth="1"/>
    <col min="15373" max="15373" width="1" style="40" customWidth="1"/>
    <col min="15374" max="15374" width="9" style="40"/>
    <col min="15375" max="15375" width="9.5" style="40" customWidth="1"/>
    <col min="15376" max="15621" width="9" style="40"/>
    <col min="15622" max="15622" width="1.25" style="40" customWidth="1"/>
    <col min="15623" max="15623" width="4.875" style="40" customWidth="1"/>
    <col min="15624" max="15624" width="25" style="40" customWidth="1"/>
    <col min="15625" max="15625" width="17.5" style="40" customWidth="1"/>
    <col min="15626" max="15626" width="7.125" style="40" customWidth="1"/>
    <col min="15627" max="15627" width="9.75" style="40" customWidth="1"/>
    <col min="15628" max="15628" width="9.25" style="40" customWidth="1"/>
    <col min="15629" max="15629" width="1" style="40" customWidth="1"/>
    <col min="15630" max="15630" width="9" style="40"/>
    <col min="15631" max="15631" width="9.5" style="40" customWidth="1"/>
    <col min="15632" max="15877" width="9" style="40"/>
    <col min="15878" max="15878" width="1.25" style="40" customWidth="1"/>
    <col min="15879" max="15879" width="4.875" style="40" customWidth="1"/>
    <col min="15880" max="15880" width="25" style="40" customWidth="1"/>
    <col min="15881" max="15881" width="17.5" style="40" customWidth="1"/>
    <col min="15882" max="15882" width="7.125" style="40" customWidth="1"/>
    <col min="15883" max="15883" width="9.75" style="40" customWidth="1"/>
    <col min="15884" max="15884" width="9.25" style="40" customWidth="1"/>
    <col min="15885" max="15885" width="1" style="40" customWidth="1"/>
    <col min="15886" max="15886" width="9" style="40"/>
    <col min="15887" max="15887" width="9.5" style="40" customWidth="1"/>
    <col min="15888" max="16133" width="9" style="40"/>
    <col min="16134" max="16134" width="1.25" style="40" customWidth="1"/>
    <col min="16135" max="16135" width="4.875" style="40" customWidth="1"/>
    <col min="16136" max="16136" width="25" style="40" customWidth="1"/>
    <col min="16137" max="16137" width="17.5" style="40" customWidth="1"/>
    <col min="16138" max="16138" width="7.125" style="40" customWidth="1"/>
    <col min="16139" max="16139" width="9.75" style="40" customWidth="1"/>
    <col min="16140" max="16140" width="9.25" style="40" customWidth="1"/>
    <col min="16141" max="16141" width="1" style="40" customWidth="1"/>
    <col min="16142" max="16142" width="9" style="40"/>
    <col min="16143" max="16143" width="9.5" style="40" customWidth="1"/>
    <col min="16144" max="16384" width="9" style="40"/>
  </cols>
  <sheetData>
    <row r="1" spans="2:22" ht="21.75" x14ac:dyDescent="0.15">
      <c r="B1" s="392" t="s">
        <v>244</v>
      </c>
      <c r="C1" s="392"/>
      <c r="D1" s="392"/>
      <c r="E1" s="392"/>
      <c r="F1" s="392"/>
      <c r="G1" s="392"/>
      <c r="H1" s="392"/>
    </row>
    <row r="2" spans="2:22" x14ac:dyDescent="0.15">
      <c r="B2" s="396" t="s">
        <v>192</v>
      </c>
      <c r="C2" s="398" t="s">
        <v>193</v>
      </c>
      <c r="D2" s="41" t="s">
        <v>194</v>
      </c>
      <c r="E2" s="403" t="s">
        <v>245</v>
      </c>
      <c r="F2" s="393" t="s">
        <v>246</v>
      </c>
      <c r="G2" s="394"/>
      <c r="H2" s="395"/>
    </row>
    <row r="3" spans="2:22" x14ac:dyDescent="0.15">
      <c r="B3" s="397"/>
      <c r="C3" s="399"/>
      <c r="D3" s="42" t="s">
        <v>198</v>
      </c>
      <c r="E3" s="404"/>
      <c r="F3" s="43" t="s">
        <v>247</v>
      </c>
      <c r="G3" s="44" t="s">
        <v>196</v>
      </c>
      <c r="H3" s="45" t="s">
        <v>248</v>
      </c>
      <c r="L3" s="40" t="s">
        <v>249</v>
      </c>
      <c r="M3" s="40" t="s">
        <v>191</v>
      </c>
      <c r="S3" s="40" t="s">
        <v>250</v>
      </c>
    </row>
    <row r="4" spans="2:22" ht="14.45" customHeight="1" x14ac:dyDescent="0.15">
      <c r="B4" s="46">
        <v>1</v>
      </c>
      <c r="C4" s="43" t="s">
        <v>199</v>
      </c>
      <c r="D4" s="47" t="s">
        <v>251</v>
      </c>
      <c r="E4" s="48" t="s">
        <v>252</v>
      </c>
      <c r="F4" s="49">
        <f>0.85*0.81*0.008*7850</f>
        <v>43.2378</v>
      </c>
      <c r="G4" s="50">
        <f>2*10</f>
        <v>20</v>
      </c>
      <c r="H4" s="51">
        <f>F4*G4</f>
        <v>864.75599999999997</v>
      </c>
      <c r="J4" s="40">
        <v>0.85</v>
      </c>
      <c r="K4" s="40">
        <v>0.81</v>
      </c>
      <c r="L4" s="40">
        <f>2*(J4+K4)</f>
        <v>3.32</v>
      </c>
      <c r="M4" s="40">
        <f>J4*K4</f>
        <v>0.6885</v>
      </c>
      <c r="N4" s="77">
        <f>G4</f>
        <v>20</v>
      </c>
      <c r="O4" s="40">
        <v>21</v>
      </c>
      <c r="P4" s="40">
        <f>N4*O4</f>
        <v>420</v>
      </c>
      <c r="Q4" s="40">
        <f>G4*M4</f>
        <v>13.77</v>
      </c>
      <c r="R4" s="72">
        <f>0.85*0.81</f>
        <v>0.6885</v>
      </c>
      <c r="S4" s="40">
        <v>6</v>
      </c>
      <c r="T4" s="40">
        <f>R4*2</f>
        <v>1.377</v>
      </c>
    </row>
    <row r="5" spans="2:22" ht="14.45" customHeight="1" x14ac:dyDescent="0.15">
      <c r="B5" s="46">
        <v>2</v>
      </c>
      <c r="C5" s="43" t="s">
        <v>201</v>
      </c>
      <c r="D5" s="47" t="s">
        <v>253</v>
      </c>
      <c r="E5" s="48" t="s">
        <v>252</v>
      </c>
      <c r="F5" s="49">
        <f>0.85*0.76*0.008*7850</f>
        <v>40.568800000000003</v>
      </c>
      <c r="G5" s="50">
        <f>2*10</f>
        <v>20</v>
      </c>
      <c r="H5" s="51">
        <f t="shared" ref="H5:H11" si="0">F5*G5</f>
        <v>811.37599999999998</v>
      </c>
      <c r="J5" s="40">
        <v>0.85</v>
      </c>
      <c r="K5" s="40">
        <v>0.76</v>
      </c>
      <c r="L5" s="40">
        <f t="shared" ref="L5:L9" si="1">2*(J5+K5)</f>
        <v>3.22</v>
      </c>
      <c r="M5" s="40">
        <f t="shared" ref="M5:M9" si="2">J5*K5</f>
        <v>0.64600000000000002</v>
      </c>
      <c r="N5" s="77">
        <f t="shared" ref="N5:N10" si="3">G5</f>
        <v>20</v>
      </c>
      <c r="O5" s="76">
        <v>21</v>
      </c>
      <c r="P5" s="40">
        <f t="shared" ref="P5:P9" si="4">N5*O5</f>
        <v>420</v>
      </c>
      <c r="Q5" s="40">
        <f t="shared" ref="Q5:Q9" si="5">G5*M5</f>
        <v>12.92</v>
      </c>
      <c r="R5" s="72">
        <f>0.85*0.76</f>
        <v>0.64600000000000002</v>
      </c>
      <c r="S5" s="40">
        <v>6</v>
      </c>
      <c r="T5" s="40">
        <f t="shared" ref="T5:T7" si="6">R5*2</f>
        <v>1.292</v>
      </c>
    </row>
    <row r="6" spans="2:22" ht="14.45" customHeight="1" x14ac:dyDescent="0.15">
      <c r="B6" s="46">
        <v>3</v>
      </c>
      <c r="C6" s="43" t="s">
        <v>203</v>
      </c>
      <c r="D6" s="47" t="s">
        <v>254</v>
      </c>
      <c r="E6" s="48" t="s">
        <v>252</v>
      </c>
      <c r="F6" s="49">
        <f>0.65*0.81*0.008*7850</f>
        <v>33.0642</v>
      </c>
      <c r="G6" s="50">
        <f>2*10</f>
        <v>20</v>
      </c>
      <c r="H6" s="51">
        <f t="shared" si="0"/>
        <v>661.28399999999999</v>
      </c>
      <c r="J6" s="40">
        <v>0.65</v>
      </c>
      <c r="K6" s="40">
        <v>0.81</v>
      </c>
      <c r="L6" s="40">
        <f t="shared" si="1"/>
        <v>2.92</v>
      </c>
      <c r="M6" s="40">
        <f t="shared" si="2"/>
        <v>0.52649999999999997</v>
      </c>
      <c r="N6" s="77">
        <f t="shared" si="3"/>
        <v>20</v>
      </c>
      <c r="O6" s="40">
        <v>18</v>
      </c>
      <c r="P6" s="40">
        <f t="shared" si="4"/>
        <v>360</v>
      </c>
      <c r="Q6" s="40">
        <f t="shared" si="5"/>
        <v>10.53</v>
      </c>
      <c r="R6" s="72">
        <f>0.65*0.81</f>
        <v>0.52649999999999997</v>
      </c>
      <c r="S6" s="40">
        <v>4</v>
      </c>
      <c r="T6" s="40">
        <f t="shared" si="6"/>
        <v>1.0529999999999999</v>
      </c>
    </row>
    <row r="7" spans="2:22" ht="14.45" customHeight="1" x14ac:dyDescent="0.15">
      <c r="B7" s="46">
        <v>4</v>
      </c>
      <c r="C7" s="43" t="s">
        <v>205</v>
      </c>
      <c r="D7" s="47" t="s">
        <v>255</v>
      </c>
      <c r="E7" s="48" t="s">
        <v>252</v>
      </c>
      <c r="F7" s="49">
        <f>0.65*0.76*0.008*7850</f>
        <v>31.023199999999999</v>
      </c>
      <c r="G7" s="50">
        <f>2*10</f>
        <v>20</v>
      </c>
      <c r="H7" s="51">
        <f t="shared" si="0"/>
        <v>620.46400000000006</v>
      </c>
      <c r="J7" s="40">
        <v>0.65</v>
      </c>
      <c r="K7" s="40">
        <v>0.76</v>
      </c>
      <c r="L7" s="40">
        <f t="shared" si="1"/>
        <v>2.82</v>
      </c>
      <c r="M7" s="40">
        <f t="shared" si="2"/>
        <v>0.49399999999999999</v>
      </c>
      <c r="N7" s="77">
        <f t="shared" si="3"/>
        <v>20</v>
      </c>
      <c r="O7" s="40">
        <v>18</v>
      </c>
      <c r="P7" s="40">
        <f t="shared" si="4"/>
        <v>360</v>
      </c>
      <c r="Q7" s="40">
        <f t="shared" si="5"/>
        <v>9.8800000000000008</v>
      </c>
      <c r="R7" s="72">
        <f>0.65*0.76</f>
        <v>0.49399999999999999</v>
      </c>
      <c r="S7" s="40">
        <v>4</v>
      </c>
      <c r="T7" s="40">
        <f t="shared" si="6"/>
        <v>0.98799999999999999</v>
      </c>
    </row>
    <row r="8" spans="2:22" ht="14.45" customHeight="1" x14ac:dyDescent="0.15">
      <c r="B8" s="46">
        <v>5</v>
      </c>
      <c r="C8" s="43" t="s">
        <v>256</v>
      </c>
      <c r="D8" s="47" t="s">
        <v>257</v>
      </c>
      <c r="E8" s="48" t="s">
        <v>252</v>
      </c>
      <c r="F8" s="49">
        <f>0.75*0.7*0.008*7850</f>
        <v>32.97</v>
      </c>
      <c r="G8" s="50">
        <f>6*10</f>
        <v>60</v>
      </c>
      <c r="H8" s="51">
        <f t="shared" si="0"/>
        <v>1978.2</v>
      </c>
      <c r="J8" s="40">
        <v>0.75</v>
      </c>
      <c r="K8" s="40">
        <v>0.7</v>
      </c>
      <c r="L8" s="40">
        <f t="shared" si="1"/>
        <v>2.9</v>
      </c>
      <c r="M8" s="40">
        <f t="shared" si="2"/>
        <v>0.52500000000000002</v>
      </c>
      <c r="N8" s="77">
        <f t="shared" si="3"/>
        <v>60</v>
      </c>
      <c r="O8" s="40">
        <v>18</v>
      </c>
      <c r="P8" s="40">
        <f t="shared" si="4"/>
        <v>1080</v>
      </c>
      <c r="Q8" s="40">
        <f t="shared" si="5"/>
        <v>31.5</v>
      </c>
      <c r="R8" s="72">
        <f>0.75*0.7</f>
        <v>0.52500000000000002</v>
      </c>
      <c r="S8" s="40">
        <v>4</v>
      </c>
      <c r="T8" s="40">
        <f>R8*8</f>
        <v>4.2</v>
      </c>
    </row>
    <row r="9" spans="2:22" ht="14.45" customHeight="1" x14ac:dyDescent="0.15">
      <c r="B9" s="46">
        <v>5</v>
      </c>
      <c r="C9" s="43" t="s">
        <v>258</v>
      </c>
      <c r="D9" s="47" t="s">
        <v>259</v>
      </c>
      <c r="E9" s="48" t="s">
        <v>252</v>
      </c>
      <c r="F9" s="49">
        <f>0.7*0.61*0.008*7850</f>
        <v>26.8156</v>
      </c>
      <c r="G9" s="50">
        <f>2*10</f>
        <v>20</v>
      </c>
      <c r="H9" s="51">
        <f t="shared" si="0"/>
        <v>536.31200000000001</v>
      </c>
      <c r="J9" s="40">
        <v>0.7</v>
      </c>
      <c r="K9" s="40">
        <v>0.61</v>
      </c>
      <c r="L9" s="40">
        <f t="shared" si="1"/>
        <v>2.62</v>
      </c>
      <c r="M9" s="40">
        <f t="shared" si="2"/>
        <v>0.42699999999999999</v>
      </c>
      <c r="N9" s="77">
        <f t="shared" si="3"/>
        <v>20</v>
      </c>
      <c r="O9" s="40">
        <v>14</v>
      </c>
      <c r="P9" s="40">
        <f t="shared" si="4"/>
        <v>280</v>
      </c>
      <c r="Q9" s="40">
        <f t="shared" si="5"/>
        <v>8.5399999999999991</v>
      </c>
      <c r="R9" s="81"/>
      <c r="S9" s="40">
        <v>4</v>
      </c>
    </row>
    <row r="10" spans="2:22" ht="14.45" customHeight="1" x14ac:dyDescent="0.15">
      <c r="B10" s="46">
        <v>4</v>
      </c>
      <c r="C10" s="43" t="s">
        <v>260</v>
      </c>
      <c r="D10" s="43" t="s">
        <v>261</v>
      </c>
      <c r="E10" s="48" t="s">
        <v>252</v>
      </c>
      <c r="F10" s="49">
        <f>0.12*0.888</f>
        <v>0.10656</v>
      </c>
      <c r="G10" s="52">
        <f>P10</f>
        <v>2920</v>
      </c>
      <c r="H10" s="51">
        <f t="shared" si="0"/>
        <v>311.15519999999998</v>
      </c>
      <c r="M10" s="40">
        <f t="shared" ref="M10:M19" si="7">H10*20</f>
        <v>6223.1040000000003</v>
      </c>
      <c r="N10" s="40">
        <f t="shared" si="3"/>
        <v>2920</v>
      </c>
      <c r="O10" s="40" t="s">
        <v>211</v>
      </c>
      <c r="P10" s="78">
        <f>SUM(P4:P9)</f>
        <v>2920</v>
      </c>
      <c r="Q10" s="40">
        <f>SUM(Q4:Q9)</f>
        <v>87.14</v>
      </c>
    </row>
    <row r="11" spans="2:22" ht="14.45" customHeight="1" x14ac:dyDescent="0.15">
      <c r="B11" s="46">
        <v>5</v>
      </c>
      <c r="C11" s="43" t="s">
        <v>145</v>
      </c>
      <c r="D11" s="285" t="s">
        <v>213</v>
      </c>
      <c r="E11" s="48" t="s">
        <v>262</v>
      </c>
      <c r="F11" s="48">
        <f>(3.14159*0.0075^2*0.08*2/3)*1000</f>
        <v>9.4247700000000007E-3</v>
      </c>
      <c r="G11" s="52">
        <f>G10</f>
        <v>2920</v>
      </c>
      <c r="H11" s="51">
        <f t="shared" si="0"/>
        <v>27.5203284</v>
      </c>
      <c r="M11" s="40">
        <f t="shared" si="7"/>
        <v>550.40656799999999</v>
      </c>
      <c r="T11" s="40">
        <f>SUM(T4:T8)</f>
        <v>8.91</v>
      </c>
      <c r="V11" s="40">
        <f>T11*20</f>
        <v>178.2</v>
      </c>
    </row>
    <row r="12" spans="2:22" ht="14.45" customHeight="1" x14ac:dyDescent="0.15">
      <c r="B12" s="46">
        <v>6</v>
      </c>
      <c r="C12" s="43" t="s">
        <v>146</v>
      </c>
      <c r="D12" s="285" t="s">
        <v>213</v>
      </c>
      <c r="E12" s="48" t="s">
        <v>263</v>
      </c>
      <c r="F12" s="49"/>
      <c r="G12" s="53"/>
      <c r="H12" s="54">
        <f>SUMPRODUCT(G4:G9,L4:L9)</f>
        <v>472</v>
      </c>
      <c r="M12" s="40">
        <f t="shared" si="7"/>
        <v>9440</v>
      </c>
      <c r="N12" s="79"/>
    </row>
    <row r="13" spans="2:22" ht="14.45" customHeight="1" x14ac:dyDescent="0.15">
      <c r="B13" s="46">
        <v>7</v>
      </c>
      <c r="C13" s="43" t="s">
        <v>147</v>
      </c>
      <c r="D13" s="285" t="s">
        <v>213</v>
      </c>
      <c r="E13" s="48" t="s">
        <v>262</v>
      </c>
      <c r="F13" s="49"/>
      <c r="G13" s="53"/>
      <c r="H13" s="54">
        <f>H14*0.003</f>
        <v>0.26141999999999999</v>
      </c>
      <c r="M13" s="40">
        <f t="shared" si="7"/>
        <v>5.2283999999999997</v>
      </c>
      <c r="N13" s="79"/>
    </row>
    <row r="14" spans="2:22" ht="14.45" customHeight="1" x14ac:dyDescent="0.15">
      <c r="B14" s="46">
        <v>8</v>
      </c>
      <c r="C14" s="43" t="s">
        <v>148</v>
      </c>
      <c r="D14" s="285" t="s">
        <v>213</v>
      </c>
      <c r="E14" s="48" t="s">
        <v>264</v>
      </c>
      <c r="F14" s="49"/>
      <c r="G14" s="53"/>
      <c r="H14" s="51">
        <f>SUMPRODUCT(G4:G9,M4:M9)</f>
        <v>87.14</v>
      </c>
      <c r="M14" s="40">
        <f t="shared" si="7"/>
        <v>1742.8</v>
      </c>
      <c r="N14" s="80"/>
    </row>
    <row r="15" spans="2:22" ht="14.45" customHeight="1" x14ac:dyDescent="0.15">
      <c r="B15" s="46">
        <v>9</v>
      </c>
      <c r="C15" s="43" t="s">
        <v>265</v>
      </c>
      <c r="D15" s="43" t="s">
        <v>266</v>
      </c>
      <c r="E15" s="48" t="s">
        <v>121</v>
      </c>
      <c r="F15" s="47">
        <f>P10</f>
        <v>2920</v>
      </c>
      <c r="G15" s="52"/>
      <c r="H15" s="51">
        <f>G10</f>
        <v>2920</v>
      </c>
      <c r="M15" s="40">
        <f t="shared" si="7"/>
        <v>58400</v>
      </c>
      <c r="O15" s="40">
        <f>SUMPRODUCT(G4:G9*L4:L9)</f>
        <v>472</v>
      </c>
      <c r="S15" s="40">
        <f>V11*0.008*7850</f>
        <v>11190.96</v>
      </c>
    </row>
    <row r="16" spans="2:22" ht="14.45" customHeight="1" x14ac:dyDescent="0.15">
      <c r="B16" s="46">
        <v>10</v>
      </c>
      <c r="C16" s="43" t="s">
        <v>150</v>
      </c>
      <c r="D16" s="286" t="s">
        <v>213</v>
      </c>
      <c r="E16" s="48" t="s">
        <v>153</v>
      </c>
      <c r="F16" s="47">
        <f>30*2</f>
        <v>60</v>
      </c>
      <c r="G16" s="52"/>
      <c r="H16" s="51">
        <f>SUMPRODUCT(G4:G9,S4:S9)</f>
        <v>720</v>
      </c>
      <c r="M16" s="40">
        <f t="shared" si="7"/>
        <v>14400</v>
      </c>
    </row>
    <row r="17" spans="2:22" ht="14.45" customHeight="1" x14ac:dyDescent="0.15">
      <c r="B17" s="46">
        <v>11</v>
      </c>
      <c r="C17" s="43" t="s">
        <v>267</v>
      </c>
      <c r="D17" s="285" t="s">
        <v>213</v>
      </c>
      <c r="E17" s="48" t="s">
        <v>153</v>
      </c>
      <c r="F17" s="47">
        <f>P10</f>
        <v>2920</v>
      </c>
      <c r="G17" s="52"/>
      <c r="H17" s="51">
        <f>H15</f>
        <v>2920</v>
      </c>
      <c r="M17" s="40">
        <f t="shared" si="7"/>
        <v>58400</v>
      </c>
    </row>
    <row r="18" spans="2:22" ht="14.45" customHeight="1" x14ac:dyDescent="0.15">
      <c r="B18" s="46">
        <v>12</v>
      </c>
      <c r="C18" s="43" t="s">
        <v>152</v>
      </c>
      <c r="D18" s="47" t="s">
        <v>222</v>
      </c>
      <c r="E18" s="48" t="s">
        <v>121</v>
      </c>
      <c r="F18" s="47">
        <f>F17</f>
        <v>2920</v>
      </c>
      <c r="G18" s="52"/>
      <c r="H18" s="51">
        <f>H17</f>
        <v>2920</v>
      </c>
      <c r="M18" s="40">
        <f t="shared" si="7"/>
        <v>58400</v>
      </c>
    </row>
    <row r="19" spans="2:22" ht="14.45" customHeight="1" x14ac:dyDescent="0.15">
      <c r="B19" s="55">
        <v>13</v>
      </c>
      <c r="C19" s="56" t="s">
        <v>65</v>
      </c>
      <c r="D19" s="287" t="s">
        <v>213</v>
      </c>
      <c r="E19" s="57" t="s">
        <v>264</v>
      </c>
      <c r="F19" s="58"/>
      <c r="G19" s="59"/>
      <c r="H19" s="60">
        <f>H14+H12*0.008</f>
        <v>90.915999999999997</v>
      </c>
      <c r="M19" s="40">
        <f t="shared" si="7"/>
        <v>1818.32</v>
      </c>
    </row>
    <row r="20" spans="2:22" x14ac:dyDescent="0.15">
      <c r="F20" s="61"/>
      <c r="G20" s="61"/>
    </row>
    <row r="22" spans="2:22" ht="21.75" x14ac:dyDescent="0.15">
      <c r="B22" s="359" t="s">
        <v>188</v>
      </c>
      <c r="C22" s="359"/>
      <c r="D22" s="359"/>
      <c r="E22" s="359"/>
      <c r="F22" s="359"/>
      <c r="G22" s="359"/>
      <c r="H22" s="62"/>
    </row>
    <row r="23" spans="2:22" ht="18" customHeight="1" x14ac:dyDescent="0.15">
      <c r="B23" s="369" t="s">
        <v>192</v>
      </c>
      <c r="C23" s="371" t="s">
        <v>193</v>
      </c>
      <c r="D23" s="64" t="s">
        <v>194</v>
      </c>
      <c r="E23" s="65" t="s">
        <v>195</v>
      </c>
      <c r="F23" s="371" t="s">
        <v>196</v>
      </c>
      <c r="G23" s="66" t="s">
        <v>197</v>
      </c>
      <c r="H23"/>
    </row>
    <row r="24" spans="2:22" ht="18" customHeight="1" x14ac:dyDescent="0.15">
      <c r="B24" s="370"/>
      <c r="C24" s="372"/>
      <c r="D24" s="69" t="s">
        <v>198</v>
      </c>
      <c r="E24" s="69" t="s">
        <v>19</v>
      </c>
      <c r="F24" s="372"/>
      <c r="G24" s="70" t="s">
        <v>19</v>
      </c>
      <c r="H24"/>
      <c r="L24" s="40" t="s">
        <v>249</v>
      </c>
      <c r="M24" s="40" t="s">
        <v>191</v>
      </c>
    </row>
    <row r="25" spans="2:22" ht="18" customHeight="1" x14ac:dyDescent="0.15">
      <c r="B25" s="67">
        <v>1</v>
      </c>
      <c r="C25" s="69" t="s">
        <v>199</v>
      </c>
      <c r="D25" s="71" t="s">
        <v>268</v>
      </c>
      <c r="E25" s="72">
        <f>0.85*0.81*0.006*7850</f>
        <v>32.428350000000002</v>
      </c>
      <c r="F25" s="50">
        <f>2*10</f>
        <v>20</v>
      </c>
      <c r="G25" s="73">
        <f>E25*F25</f>
        <v>648.56700000000001</v>
      </c>
      <c r="H25"/>
      <c r="J25" s="40">
        <v>0.85</v>
      </c>
      <c r="K25" s="40">
        <v>0.81</v>
      </c>
      <c r="L25" s="40">
        <f>2*(J25+K25)</f>
        <v>3.32</v>
      </c>
      <c r="M25" s="40">
        <f>J25*K25</f>
        <v>0.6885</v>
      </c>
      <c r="N25" s="77">
        <f>G25</f>
        <v>648.56700000000001</v>
      </c>
      <c r="O25" s="40">
        <v>24</v>
      </c>
      <c r="P25" s="40">
        <f>N25*O25</f>
        <v>15565.608</v>
      </c>
      <c r="Q25" s="40">
        <f>G25*M25</f>
        <v>446.53837950000002</v>
      </c>
      <c r="R25" s="72">
        <f>0.85*0.81</f>
        <v>0.6885</v>
      </c>
      <c r="T25" s="40">
        <f>R25*2</f>
        <v>1.377</v>
      </c>
    </row>
    <row r="26" spans="2:22" ht="18" customHeight="1" x14ac:dyDescent="0.15">
      <c r="B26" s="67">
        <v>2</v>
      </c>
      <c r="C26" s="69" t="s">
        <v>201</v>
      </c>
      <c r="D26" s="71" t="s">
        <v>269</v>
      </c>
      <c r="E26" s="72">
        <f>0.85*0.76*0.006*7850</f>
        <v>30.426600000000001</v>
      </c>
      <c r="F26" s="50">
        <f>2*10</f>
        <v>20</v>
      </c>
      <c r="G26" s="73">
        <f t="shared" ref="G26:G31" si="8">E26*F26</f>
        <v>608.53200000000004</v>
      </c>
      <c r="H26"/>
      <c r="J26" s="40">
        <v>0.85</v>
      </c>
      <c r="K26" s="40">
        <v>0.76</v>
      </c>
      <c r="L26" s="40">
        <f t="shared" ref="L26:L30" si="9">2*(J26+K26)</f>
        <v>3.22</v>
      </c>
      <c r="M26" s="40">
        <f t="shared" ref="M26:M30" si="10">J26*K26</f>
        <v>0.64600000000000002</v>
      </c>
      <c r="N26" s="77">
        <f t="shared" ref="N26:N31" si="11">G26</f>
        <v>608.53200000000004</v>
      </c>
      <c r="O26" s="76">
        <v>24</v>
      </c>
      <c r="P26" s="40">
        <f t="shared" ref="P26:P30" si="12">N26*O26</f>
        <v>14604.768</v>
      </c>
      <c r="Q26" s="40">
        <f t="shared" ref="Q26:Q30" si="13">G26*M26</f>
        <v>393.111672</v>
      </c>
      <c r="R26" s="72">
        <f>0.85*0.76</f>
        <v>0.64600000000000002</v>
      </c>
      <c r="T26" s="40">
        <f t="shared" ref="T26:T28" si="14">R26*2</f>
        <v>1.292</v>
      </c>
    </row>
    <row r="27" spans="2:22" ht="18" customHeight="1" x14ac:dyDescent="0.15">
      <c r="B27" s="67">
        <v>3</v>
      </c>
      <c r="C27" s="69" t="s">
        <v>203</v>
      </c>
      <c r="D27" s="71" t="s">
        <v>270</v>
      </c>
      <c r="E27" s="72">
        <f>0.65*0.81*0.006*7850</f>
        <v>24.79815</v>
      </c>
      <c r="F27" s="50">
        <f>2*10</f>
        <v>20</v>
      </c>
      <c r="G27" s="73">
        <f t="shared" si="8"/>
        <v>495.96300000000002</v>
      </c>
      <c r="H27"/>
      <c r="J27" s="40">
        <v>0.65</v>
      </c>
      <c r="K27" s="40">
        <v>0.81</v>
      </c>
      <c r="L27" s="40">
        <f t="shared" si="9"/>
        <v>2.92</v>
      </c>
      <c r="M27" s="40">
        <f t="shared" si="10"/>
        <v>0.52649999999999997</v>
      </c>
      <c r="N27" s="77">
        <f t="shared" si="11"/>
        <v>495.96300000000002</v>
      </c>
      <c r="O27" s="40">
        <v>20</v>
      </c>
      <c r="P27" s="40">
        <f t="shared" si="12"/>
        <v>9919.26</v>
      </c>
      <c r="Q27" s="40">
        <f t="shared" si="13"/>
        <v>261.12451950000002</v>
      </c>
      <c r="R27" s="72">
        <f>0.65*0.81</f>
        <v>0.52649999999999997</v>
      </c>
      <c r="T27" s="40">
        <f t="shared" si="14"/>
        <v>1.0529999999999999</v>
      </c>
    </row>
    <row r="28" spans="2:22" ht="18" customHeight="1" x14ac:dyDescent="0.15">
      <c r="B28" s="67">
        <v>4</v>
      </c>
      <c r="C28" s="69" t="s">
        <v>205</v>
      </c>
      <c r="D28" s="71" t="s">
        <v>271</v>
      </c>
      <c r="E28" s="72">
        <f>0.65*0.76*0.006*7850</f>
        <v>23.267399999999999</v>
      </c>
      <c r="F28" s="50">
        <f>2*10</f>
        <v>20</v>
      </c>
      <c r="G28" s="73">
        <f t="shared" si="8"/>
        <v>465.34800000000001</v>
      </c>
      <c r="H28"/>
      <c r="J28" s="40">
        <v>0.65</v>
      </c>
      <c r="K28" s="40">
        <v>0.76</v>
      </c>
      <c r="L28" s="40">
        <f t="shared" si="9"/>
        <v>2.82</v>
      </c>
      <c r="M28" s="40">
        <f t="shared" si="10"/>
        <v>0.49399999999999999</v>
      </c>
      <c r="N28" s="77">
        <f t="shared" si="11"/>
        <v>465.34800000000001</v>
      </c>
      <c r="O28" s="40">
        <v>20</v>
      </c>
      <c r="P28" s="40">
        <f t="shared" si="12"/>
        <v>9306.9599999999991</v>
      </c>
      <c r="Q28" s="40">
        <f t="shared" si="13"/>
        <v>229.881912</v>
      </c>
      <c r="R28" s="72">
        <f>0.65*0.76</f>
        <v>0.49399999999999999</v>
      </c>
      <c r="T28" s="40">
        <f t="shared" si="14"/>
        <v>0.98799999999999999</v>
      </c>
    </row>
    <row r="29" spans="2:22" ht="18" customHeight="1" x14ac:dyDescent="0.15">
      <c r="B29" s="67">
        <v>5</v>
      </c>
      <c r="C29" s="69" t="s">
        <v>256</v>
      </c>
      <c r="D29" s="71" t="s">
        <v>272</v>
      </c>
      <c r="E29" s="72">
        <f>0.75*0.7*0.006*7850</f>
        <v>24.727499999999999</v>
      </c>
      <c r="F29" s="50">
        <f>6*10</f>
        <v>60</v>
      </c>
      <c r="G29" s="73">
        <f t="shared" si="8"/>
        <v>1483.65</v>
      </c>
      <c r="H29"/>
      <c r="J29" s="40">
        <v>0.75</v>
      </c>
      <c r="K29" s="40">
        <v>0.7</v>
      </c>
      <c r="L29" s="40">
        <f t="shared" si="9"/>
        <v>2.9</v>
      </c>
      <c r="M29" s="40">
        <f t="shared" si="10"/>
        <v>0.52500000000000002</v>
      </c>
      <c r="N29" s="77">
        <f t="shared" si="11"/>
        <v>1483.65</v>
      </c>
      <c r="O29" s="40">
        <v>20</v>
      </c>
      <c r="P29" s="40">
        <f t="shared" si="12"/>
        <v>29673</v>
      </c>
      <c r="Q29" s="40">
        <f t="shared" si="13"/>
        <v>778.91624999999999</v>
      </c>
      <c r="R29" s="72">
        <f>0.75*0.7</f>
        <v>0.52500000000000002</v>
      </c>
      <c r="T29" s="40">
        <f>R29*8</f>
        <v>4.2</v>
      </c>
    </row>
    <row r="30" spans="2:22" ht="18" customHeight="1" x14ac:dyDescent="0.15">
      <c r="B30" s="67">
        <v>6</v>
      </c>
      <c r="C30" s="69" t="s">
        <v>258</v>
      </c>
      <c r="D30" s="71" t="s">
        <v>273</v>
      </c>
      <c r="E30" s="72">
        <f>0.7*0.61*0.006*7850</f>
        <v>20.111699999999999</v>
      </c>
      <c r="F30" s="50">
        <f>2*10</f>
        <v>20</v>
      </c>
      <c r="G30" s="73">
        <f t="shared" si="8"/>
        <v>402.23399999999998</v>
      </c>
      <c r="H30"/>
      <c r="J30" s="40">
        <v>0.7</v>
      </c>
      <c r="K30" s="40">
        <v>0.61</v>
      </c>
      <c r="L30" s="40">
        <f t="shared" si="9"/>
        <v>2.62</v>
      </c>
      <c r="M30" s="40">
        <f t="shared" si="10"/>
        <v>0.42699999999999999</v>
      </c>
      <c r="N30" s="77">
        <f t="shared" si="11"/>
        <v>402.23399999999998</v>
      </c>
      <c r="O30" s="40">
        <v>16</v>
      </c>
      <c r="P30" s="40">
        <f t="shared" si="12"/>
        <v>6435.7439999999997</v>
      </c>
      <c r="Q30" s="40">
        <f t="shared" si="13"/>
        <v>171.753918</v>
      </c>
      <c r="R30" s="81"/>
    </row>
    <row r="31" spans="2:22" ht="18" customHeight="1" x14ac:dyDescent="0.15">
      <c r="B31" s="67">
        <v>7</v>
      </c>
      <c r="C31" s="69" t="s">
        <v>260</v>
      </c>
      <c r="D31" s="69" t="s">
        <v>261</v>
      </c>
      <c r="E31" s="72">
        <f>0.12*0.888</f>
        <v>0.10656</v>
      </c>
      <c r="F31" s="71">
        <f>G10</f>
        <v>2920</v>
      </c>
      <c r="G31" s="73">
        <f t="shared" si="8"/>
        <v>311.15519999999998</v>
      </c>
      <c r="H31"/>
      <c r="M31" s="40">
        <f t="shared" ref="M31:M40" si="15">H31*20</f>
        <v>0</v>
      </c>
      <c r="N31" s="40">
        <f t="shared" si="11"/>
        <v>311.15519999999998</v>
      </c>
      <c r="O31" s="40" t="s">
        <v>211</v>
      </c>
      <c r="P31" s="78">
        <f>SUM(P25:P30)</f>
        <v>85505.34</v>
      </c>
      <c r="Q31" s="40">
        <f>SUM(Q25:Q30)</f>
        <v>2281.3266509999999</v>
      </c>
    </row>
    <row r="32" spans="2:22" ht="18" customHeight="1" x14ac:dyDescent="0.15">
      <c r="B32" s="67">
        <v>8</v>
      </c>
      <c r="C32" s="69" t="s">
        <v>212</v>
      </c>
      <c r="D32" s="282" t="s">
        <v>213</v>
      </c>
      <c r="E32" s="360">
        <f t="shared" ref="E32:E40" si="16">H11</f>
        <v>27.5203284</v>
      </c>
      <c r="F32" s="361"/>
      <c r="G32" s="362"/>
      <c r="H32"/>
      <c r="M32" s="40">
        <f t="shared" si="15"/>
        <v>0</v>
      </c>
      <c r="T32" s="40">
        <f>SUM(T25:T29)</f>
        <v>8.91</v>
      </c>
      <c r="V32" s="40">
        <f>T32*20</f>
        <v>178.2</v>
      </c>
    </row>
    <row r="33" spans="2:19" ht="18" customHeight="1" x14ac:dyDescent="0.15">
      <c r="B33" s="67">
        <v>9</v>
      </c>
      <c r="C33" s="69" t="s">
        <v>214</v>
      </c>
      <c r="D33" s="282" t="s">
        <v>213</v>
      </c>
      <c r="E33" s="360">
        <f t="shared" si="16"/>
        <v>472</v>
      </c>
      <c r="F33" s="361"/>
      <c r="G33" s="362"/>
      <c r="H33"/>
      <c r="M33" s="40">
        <f t="shared" si="15"/>
        <v>0</v>
      </c>
      <c r="N33" s="79"/>
    </row>
    <row r="34" spans="2:19" ht="18" customHeight="1" x14ac:dyDescent="0.15">
      <c r="B34" s="67">
        <v>10</v>
      </c>
      <c r="C34" s="69" t="s">
        <v>215</v>
      </c>
      <c r="D34" s="282" t="s">
        <v>213</v>
      </c>
      <c r="E34" s="360">
        <f t="shared" si="16"/>
        <v>0.26141999999999999</v>
      </c>
      <c r="F34" s="361"/>
      <c r="G34" s="362"/>
      <c r="H34"/>
      <c r="M34" s="40">
        <f t="shared" si="15"/>
        <v>0</v>
      </c>
      <c r="N34" s="79"/>
    </row>
    <row r="35" spans="2:19" ht="18" customHeight="1" x14ac:dyDescent="0.15">
      <c r="B35" s="67">
        <v>11</v>
      </c>
      <c r="C35" s="69" t="s">
        <v>216</v>
      </c>
      <c r="D35" s="282" t="s">
        <v>213</v>
      </c>
      <c r="E35" s="360">
        <f t="shared" si="16"/>
        <v>87.14</v>
      </c>
      <c r="F35" s="361"/>
      <c r="G35" s="362"/>
      <c r="H35"/>
      <c r="M35" s="40">
        <f t="shared" si="15"/>
        <v>0</v>
      </c>
      <c r="N35" s="80"/>
    </row>
    <row r="36" spans="2:19" ht="18" customHeight="1" x14ac:dyDescent="0.15">
      <c r="B36" s="67">
        <v>12</v>
      </c>
      <c r="C36" s="69" t="s">
        <v>217</v>
      </c>
      <c r="D36" s="69" t="s">
        <v>218</v>
      </c>
      <c r="E36" s="363">
        <f t="shared" si="16"/>
        <v>2920</v>
      </c>
      <c r="F36" s="364"/>
      <c r="G36" s="365"/>
      <c r="H36"/>
      <c r="M36" s="40">
        <f t="shared" si="15"/>
        <v>0</v>
      </c>
      <c r="O36" s="40">
        <f>SUMPRODUCT(G25:G30*L25:L30)</f>
        <v>12229.64688</v>
      </c>
      <c r="S36" s="40">
        <f>V32*0.008*7850</f>
        <v>11190.96</v>
      </c>
    </row>
    <row r="37" spans="2:19" ht="18" customHeight="1" x14ac:dyDescent="0.15">
      <c r="B37" s="67">
        <v>13</v>
      </c>
      <c r="C37" s="69" t="s">
        <v>219</v>
      </c>
      <c r="D37" s="283" t="s">
        <v>213</v>
      </c>
      <c r="E37" s="363">
        <f t="shared" si="16"/>
        <v>720</v>
      </c>
      <c r="F37" s="364"/>
      <c r="G37" s="365"/>
      <c r="H37"/>
      <c r="M37" s="40">
        <f t="shared" si="15"/>
        <v>0</v>
      </c>
    </row>
    <row r="38" spans="2:19" ht="18" customHeight="1" x14ac:dyDescent="0.15">
      <c r="B38" s="67">
        <v>14</v>
      </c>
      <c r="C38" s="69" t="s">
        <v>220</v>
      </c>
      <c r="D38" s="282" t="s">
        <v>213</v>
      </c>
      <c r="E38" s="363">
        <f t="shared" si="16"/>
        <v>2920</v>
      </c>
      <c r="F38" s="364"/>
      <c r="G38" s="365"/>
      <c r="H38"/>
      <c r="M38" s="40">
        <f t="shared" si="15"/>
        <v>0</v>
      </c>
    </row>
    <row r="39" spans="2:19" ht="18" customHeight="1" x14ac:dyDescent="0.15">
      <c r="B39" s="67">
        <v>15</v>
      </c>
      <c r="C39" s="69" t="s">
        <v>221</v>
      </c>
      <c r="D39" s="71" t="s">
        <v>222</v>
      </c>
      <c r="E39" s="363">
        <f t="shared" si="16"/>
        <v>2920</v>
      </c>
      <c r="F39" s="364"/>
      <c r="G39" s="365"/>
      <c r="H39"/>
      <c r="M39" s="40">
        <f t="shared" si="15"/>
        <v>0</v>
      </c>
    </row>
    <row r="40" spans="2:19" ht="18" customHeight="1" x14ac:dyDescent="0.15">
      <c r="B40" s="74">
        <v>16</v>
      </c>
      <c r="C40" s="75" t="s">
        <v>223</v>
      </c>
      <c r="D40" s="284" t="s">
        <v>213</v>
      </c>
      <c r="E40" s="366">
        <f t="shared" si="16"/>
        <v>90.915999999999997</v>
      </c>
      <c r="F40" s="367"/>
      <c r="G40" s="368"/>
      <c r="H40"/>
      <c r="M40" s="40">
        <f t="shared" si="15"/>
        <v>0</v>
      </c>
    </row>
    <row r="43" spans="2:19" x14ac:dyDescent="0.15">
      <c r="F43" s="40" t="s">
        <v>224</v>
      </c>
      <c r="G43" s="76">
        <f>SUM(G25:G30)</f>
        <v>4104.2939999999999</v>
      </c>
    </row>
    <row r="48" spans="2:19" ht="16.5" x14ac:dyDescent="0.15">
      <c r="C48" s="69" t="s">
        <v>260</v>
      </c>
      <c r="D48" s="69" t="s">
        <v>212</v>
      </c>
      <c r="E48" s="69" t="s">
        <v>214</v>
      </c>
      <c r="F48" s="69" t="s">
        <v>215</v>
      </c>
      <c r="G48" s="69" t="s">
        <v>216</v>
      </c>
      <c r="H48" s="69" t="s">
        <v>217</v>
      </c>
      <c r="I48" s="69" t="s">
        <v>219</v>
      </c>
      <c r="J48" s="69" t="s">
        <v>220</v>
      </c>
      <c r="K48" s="69" t="s">
        <v>221</v>
      </c>
      <c r="L48" s="75" t="s">
        <v>223</v>
      </c>
    </row>
    <row r="49" spans="3:12" x14ac:dyDescent="0.15">
      <c r="C49" s="73"/>
      <c r="D49" s="400"/>
      <c r="E49" s="400"/>
      <c r="F49" s="400"/>
      <c r="G49" s="400"/>
      <c r="H49" s="363"/>
      <c r="I49" s="363"/>
      <c r="J49" s="363"/>
      <c r="K49" s="363"/>
      <c r="L49" s="366"/>
    </row>
    <row r="50" spans="3:12" x14ac:dyDescent="0.15">
      <c r="C50" s="73"/>
      <c r="D50" s="401"/>
      <c r="E50" s="401"/>
      <c r="F50" s="401"/>
      <c r="G50" s="401"/>
      <c r="H50" s="364"/>
      <c r="I50" s="364"/>
      <c r="J50" s="364"/>
      <c r="K50" s="364"/>
      <c r="L50" s="367"/>
    </row>
    <row r="51" spans="3:12" x14ac:dyDescent="0.15">
      <c r="C51" s="73"/>
      <c r="D51" s="402"/>
      <c r="E51" s="402"/>
      <c r="F51" s="402"/>
      <c r="G51" s="402"/>
      <c r="H51" s="365"/>
      <c r="I51" s="365"/>
      <c r="J51" s="365"/>
      <c r="K51" s="365"/>
      <c r="L51" s="368"/>
    </row>
    <row r="53" spans="3:12" x14ac:dyDescent="0.15">
      <c r="C53" s="40">
        <v>699.03359999999998</v>
      </c>
      <c r="D53" s="40">
        <v>61.8264912</v>
      </c>
      <c r="E53" s="40">
        <v>944</v>
      </c>
      <c r="F53" s="40">
        <v>0.52283999999999997</v>
      </c>
      <c r="G53" s="40">
        <v>174.28</v>
      </c>
      <c r="H53" s="40">
        <v>6560</v>
      </c>
      <c r="I53" s="40">
        <v>1440</v>
      </c>
      <c r="J53" s="40">
        <v>6560</v>
      </c>
      <c r="K53" s="40">
        <v>6560</v>
      </c>
      <c r="L53" s="40">
        <v>181.83199999999999</v>
      </c>
    </row>
  </sheetData>
  <mergeCells count="27">
    <mergeCell ref="L49:L51"/>
    <mergeCell ref="G49:G51"/>
    <mergeCell ref="H49:H51"/>
    <mergeCell ref="I49:I51"/>
    <mergeCell ref="J49:J51"/>
    <mergeCell ref="K49:K51"/>
    <mergeCell ref="D49:D51"/>
    <mergeCell ref="E2:E3"/>
    <mergeCell ref="E49:E51"/>
    <mergeCell ref="F23:F24"/>
    <mergeCell ref="F49:F51"/>
    <mergeCell ref="E39:G39"/>
    <mergeCell ref="E40:G40"/>
    <mergeCell ref="B2:B3"/>
    <mergeCell ref="B23:B24"/>
    <mergeCell ref="C2:C3"/>
    <mergeCell ref="C23:C24"/>
    <mergeCell ref="E34:G34"/>
    <mergeCell ref="E35:G35"/>
    <mergeCell ref="E36:G36"/>
    <mergeCell ref="E37:G37"/>
    <mergeCell ref="E38:G38"/>
    <mergeCell ref="B1:H1"/>
    <mergeCell ref="F2:H2"/>
    <mergeCell ref="B22:G22"/>
    <mergeCell ref="E32:G32"/>
    <mergeCell ref="E33:G33"/>
  </mergeCells>
  <phoneticPr fontId="27" type="noConversion"/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4"/>
  <dimension ref="A4:M63"/>
  <sheetViews>
    <sheetView zoomScale="145" zoomScaleNormal="145" workbookViewId="0">
      <selection activeCell="E20" sqref="E20"/>
    </sheetView>
  </sheetViews>
  <sheetFormatPr defaultColWidth="9" defaultRowHeight="13.5" x14ac:dyDescent="0.15"/>
  <cols>
    <col min="5" max="5" width="17.75" customWidth="1"/>
    <col min="6" max="6" width="12.75" customWidth="1"/>
    <col min="8" max="8" width="13.875" customWidth="1"/>
    <col min="9" max="9" width="12.75" customWidth="1"/>
  </cols>
  <sheetData>
    <row r="4" spans="1:13" ht="14.25" x14ac:dyDescent="0.15">
      <c r="A4" s="1" t="s">
        <v>274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4.25" x14ac:dyDescent="0.15">
      <c r="A5" s="1">
        <v>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8.75" x14ac:dyDescent="0.15">
      <c r="A6" s="1" t="s">
        <v>275</v>
      </c>
      <c r="B6" s="1"/>
      <c r="C6" s="405" t="s">
        <v>276</v>
      </c>
      <c r="D6" s="405"/>
      <c r="E6" s="405"/>
      <c r="F6" s="405"/>
      <c r="G6" s="405"/>
      <c r="H6" s="1"/>
      <c r="I6" s="1">
        <f>11.54*13.4</f>
        <v>154.636</v>
      </c>
      <c r="J6" s="1"/>
      <c r="K6" s="1"/>
      <c r="L6" s="1"/>
      <c r="M6" s="1"/>
    </row>
    <row r="7" spans="1:13" ht="15.6" customHeight="1" x14ac:dyDescent="0.15">
      <c r="A7" s="1">
        <v>5</v>
      </c>
      <c r="B7" s="1"/>
      <c r="C7" s="2" t="s">
        <v>192</v>
      </c>
      <c r="D7" s="406" t="s">
        <v>277</v>
      </c>
      <c r="E7" s="406"/>
      <c r="F7" s="3" t="s">
        <v>245</v>
      </c>
      <c r="G7" s="4" t="s">
        <v>235</v>
      </c>
      <c r="H7" s="1"/>
      <c r="I7" s="1"/>
      <c r="J7" s="1"/>
      <c r="K7" s="13">
        <v>700</v>
      </c>
      <c r="L7" s="13">
        <v>15</v>
      </c>
      <c r="M7" s="13">
        <v>46.6666666666667</v>
      </c>
    </row>
    <row r="8" spans="1:13" ht="15.6" customHeight="1" x14ac:dyDescent="0.15">
      <c r="A8" s="1"/>
      <c r="B8" s="1"/>
      <c r="C8" s="36">
        <v>1</v>
      </c>
      <c r="D8" s="407" t="s">
        <v>278</v>
      </c>
      <c r="E8" s="408"/>
      <c r="F8" s="6" t="s">
        <v>279</v>
      </c>
      <c r="G8" s="37">
        <f>1.36*0.06*2*2*2</f>
        <v>0.65280000000000005</v>
      </c>
      <c r="H8" s="1" t="s">
        <v>191</v>
      </c>
      <c r="I8" s="1"/>
      <c r="J8" s="1"/>
      <c r="K8" s="13"/>
      <c r="L8" s="13"/>
      <c r="M8" s="13"/>
    </row>
    <row r="9" spans="1:13" ht="15.6" customHeight="1" x14ac:dyDescent="0.15">
      <c r="A9" s="1" t="s">
        <v>280</v>
      </c>
      <c r="B9" s="1"/>
      <c r="C9" s="8">
        <v>2</v>
      </c>
      <c r="D9" s="409" t="s">
        <v>281</v>
      </c>
      <c r="E9" s="409"/>
      <c r="F9" s="6" t="s">
        <v>279</v>
      </c>
      <c r="G9" s="9">
        <f>(9.25+1.65)*2*2*0.025*2</f>
        <v>2.1800000000000002</v>
      </c>
      <c r="H9" s="1">
        <f>(9.27+1.67)*2*2*2</f>
        <v>87.52</v>
      </c>
      <c r="I9" s="1"/>
      <c r="J9" s="1"/>
      <c r="K9" s="1"/>
      <c r="L9" s="13">
        <v>46</v>
      </c>
      <c r="M9" s="1"/>
    </row>
    <row r="10" spans="1:13" ht="15.6" customHeight="1" x14ac:dyDescent="0.15">
      <c r="A10" s="1">
        <v>72</v>
      </c>
      <c r="B10" s="1"/>
      <c r="C10" s="8">
        <v>3</v>
      </c>
      <c r="D10" s="409" t="s">
        <v>282</v>
      </c>
      <c r="E10" s="409"/>
      <c r="F10" s="6" t="s">
        <v>283</v>
      </c>
      <c r="G10" s="38">
        <f>(9.25+1.65)*2*2*2*2</f>
        <v>174.4</v>
      </c>
      <c r="H10" s="1"/>
      <c r="I10" s="1"/>
      <c r="J10" s="1"/>
      <c r="K10" s="1"/>
      <c r="L10" s="13">
        <v>690</v>
      </c>
      <c r="M10" s="1"/>
    </row>
    <row r="11" spans="1:13" ht="15.6" customHeight="1" x14ac:dyDescent="0.15">
      <c r="A11" s="1"/>
      <c r="B11" s="1"/>
      <c r="C11" s="8">
        <v>4</v>
      </c>
      <c r="D11" s="409" t="s">
        <v>284</v>
      </c>
      <c r="E11" s="409"/>
      <c r="F11" s="6" t="s">
        <v>121</v>
      </c>
      <c r="G11" s="39">
        <f>G10/(0.3*0.3)</f>
        <v>1937.7777777777801</v>
      </c>
      <c r="H11" s="1"/>
      <c r="I11" s="1">
        <f>PI()*0.0075^2*0.08*2/3*G11*1000</f>
        <v>18.2631252928687</v>
      </c>
      <c r="J11" s="1"/>
      <c r="K11" s="1"/>
      <c r="L11" s="1"/>
      <c r="M11" s="1"/>
    </row>
    <row r="12" spans="1:13" ht="15.6" customHeight="1" x14ac:dyDescent="0.15">
      <c r="A12" s="1" t="s">
        <v>285</v>
      </c>
      <c r="B12" s="1"/>
      <c r="C12" s="10">
        <v>5</v>
      </c>
      <c r="D12" s="410" t="s">
        <v>286</v>
      </c>
      <c r="E12" s="410"/>
      <c r="F12" s="11" t="s">
        <v>283</v>
      </c>
      <c r="G12" s="12">
        <f>(9.25+1.65)*2*2*2</f>
        <v>87.2</v>
      </c>
      <c r="H12" s="1"/>
      <c r="I12" s="1"/>
      <c r="J12" s="1"/>
      <c r="K12" s="1"/>
      <c r="L12" s="1"/>
      <c r="M12" s="1"/>
    </row>
    <row r="13" spans="1:13" ht="14.25" x14ac:dyDescent="0.15">
      <c r="A13" s="1">
        <v>14.25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6" spans="1:13" x14ac:dyDescent="0.15">
      <c r="E16">
        <v>1.5E-3</v>
      </c>
      <c r="F16">
        <v>0.01</v>
      </c>
    </row>
    <row r="17" spans="2:9" x14ac:dyDescent="0.15">
      <c r="D17">
        <f>1/0.03*2</f>
        <v>66.6666666666667</v>
      </c>
      <c r="E17">
        <f>PI()*E16^2/4*7850</f>
        <v>1.38720950610074E-2</v>
      </c>
      <c r="F17">
        <f>PI()*F16^2/4*7850</f>
        <v>0.61653755826699697</v>
      </c>
    </row>
    <row r="19" spans="2:9" x14ac:dyDescent="0.15">
      <c r="E19">
        <f>D17*E17</f>
        <v>0.924806337400495</v>
      </c>
    </row>
    <row r="22" spans="2:9" x14ac:dyDescent="0.15">
      <c r="B22">
        <v>809.13</v>
      </c>
    </row>
    <row r="23" spans="2:9" x14ac:dyDescent="0.15">
      <c r="B23">
        <v>659.87</v>
      </c>
      <c r="C23">
        <f>B22-B23</f>
        <v>149.26</v>
      </c>
    </row>
    <row r="24" spans="2:9" x14ac:dyDescent="0.15">
      <c r="C24">
        <f>(B22+B23)/2</f>
        <v>734.5</v>
      </c>
    </row>
    <row r="26" spans="2:9" x14ac:dyDescent="0.15">
      <c r="D26">
        <v>5.13</v>
      </c>
      <c r="E26">
        <v>40</v>
      </c>
      <c r="F26">
        <v>40</v>
      </c>
      <c r="G26">
        <v>40</v>
      </c>
      <c r="H26">
        <v>16.010000000000002</v>
      </c>
      <c r="I26">
        <v>8.1199999999999992</v>
      </c>
    </row>
    <row r="27" spans="2:9" x14ac:dyDescent="0.15">
      <c r="B27">
        <v>411</v>
      </c>
      <c r="C27">
        <f>B27-C23/2</f>
        <v>336.37</v>
      </c>
      <c r="D27">
        <f>C27+D26</f>
        <v>341.5</v>
      </c>
      <c r="E27">
        <f t="shared" ref="E27:I27" si="0">D27+E26</f>
        <v>381.5</v>
      </c>
      <c r="F27">
        <f t="shared" si="0"/>
        <v>421.5</v>
      </c>
      <c r="G27">
        <f t="shared" si="0"/>
        <v>461.5</v>
      </c>
      <c r="H27">
        <f t="shared" si="0"/>
        <v>477.51</v>
      </c>
      <c r="I27">
        <f t="shared" si="0"/>
        <v>485.63</v>
      </c>
    </row>
    <row r="28" spans="2:9" x14ac:dyDescent="0.15">
      <c r="E28">
        <v>490.9</v>
      </c>
      <c r="F28">
        <v>113.1</v>
      </c>
      <c r="H28">
        <f>E28*10*45+F28*45+E28*2*(45+28.4)</f>
        <v>298058.62</v>
      </c>
    </row>
    <row r="29" spans="2:9" x14ac:dyDescent="0.15">
      <c r="C29">
        <f>B27+C23/2</f>
        <v>485.63</v>
      </c>
      <c r="H29">
        <f>E28*12+F28</f>
        <v>6003.9</v>
      </c>
    </row>
    <row r="30" spans="2:9" x14ac:dyDescent="0.15">
      <c r="H30">
        <f>H28/H29</f>
        <v>49.644167957494297</v>
      </c>
    </row>
    <row r="33" spans="6:11" x14ac:dyDescent="0.15">
      <c r="H33">
        <f>F28*7</f>
        <v>791.7</v>
      </c>
    </row>
    <row r="34" spans="6:11" x14ac:dyDescent="0.15">
      <c r="I34">
        <v>179.72</v>
      </c>
    </row>
    <row r="35" spans="6:11" x14ac:dyDescent="0.15">
      <c r="F35">
        <v>617.5</v>
      </c>
      <c r="G35">
        <v>75553.77</v>
      </c>
      <c r="H35">
        <v>-33522366.57</v>
      </c>
      <c r="I35">
        <f>F35*I34^2+G35*I34+H35</f>
        <v>961.38639999926102</v>
      </c>
    </row>
    <row r="39" spans="6:11" x14ac:dyDescent="0.15">
      <c r="F39">
        <v>6.8490000000000002</v>
      </c>
      <c r="G39">
        <v>6003.9</v>
      </c>
      <c r="I39">
        <v>110.2</v>
      </c>
      <c r="J39">
        <v>1235</v>
      </c>
      <c r="K39">
        <v>419.2</v>
      </c>
    </row>
    <row r="42" spans="6:11" x14ac:dyDescent="0.15">
      <c r="F42">
        <f>(F39*G39+I39*(J39-K39))/K39</f>
        <v>312.55217342557302</v>
      </c>
      <c r="I42">
        <f>(2*F39*G39*700+(J39-K39)*I39^2)/K39</f>
        <v>160963.98705152699</v>
      </c>
    </row>
    <row r="44" spans="6:11" x14ac:dyDescent="0.15">
      <c r="I44">
        <f>SQRT(F42^2+I42)-F42</f>
        <v>196.02707129896001</v>
      </c>
    </row>
    <row r="49" spans="4:9" x14ac:dyDescent="0.15">
      <c r="F49">
        <v>1235</v>
      </c>
      <c r="G49">
        <v>196.03</v>
      </c>
      <c r="H49">
        <v>419.2</v>
      </c>
      <c r="I49">
        <v>110.2</v>
      </c>
    </row>
    <row r="50" spans="4:9" x14ac:dyDescent="0.15">
      <c r="D50">
        <v>6.8490000000000002</v>
      </c>
      <c r="F50">
        <v>1</v>
      </c>
      <c r="H50">
        <v>2</v>
      </c>
    </row>
    <row r="51" spans="4:9" x14ac:dyDescent="0.15">
      <c r="D51">
        <v>791.7</v>
      </c>
      <c r="F51">
        <f>F49*G49^3/3</f>
        <v>3101082517.33178</v>
      </c>
      <c r="H51">
        <f>(F49-H49)*(G49-I49)^3/3*(-1)</f>
        <v>-171941132.863978</v>
      </c>
    </row>
    <row r="53" spans="4:9" x14ac:dyDescent="0.15">
      <c r="D53">
        <v>6003.9</v>
      </c>
      <c r="F53">
        <v>3</v>
      </c>
      <c r="H53">
        <v>4</v>
      </c>
    </row>
    <row r="54" spans="4:9" x14ac:dyDescent="0.15">
      <c r="F54">
        <f>D50*D51*(G49-35)^2</f>
        <v>140605204.70229599</v>
      </c>
      <c r="H54">
        <f>D50*D53*(700-G49)^2</f>
        <v>10444075097.482599</v>
      </c>
    </row>
    <row r="55" spans="4:9" x14ac:dyDescent="0.15">
      <c r="D55">
        <v>5.4790000000000001</v>
      </c>
    </row>
    <row r="56" spans="4:9" x14ac:dyDescent="0.15">
      <c r="D56">
        <v>549.5</v>
      </c>
      <c r="F56">
        <v>5</v>
      </c>
      <c r="H56">
        <v>6</v>
      </c>
    </row>
    <row r="57" spans="4:9" x14ac:dyDescent="0.15">
      <c r="F57">
        <f>D55*D56*(755-G49)^2</f>
        <v>940688851.22996998</v>
      </c>
      <c r="H57">
        <f>(1040*25)*(762.5-G49)^2</f>
        <v>8343094783.3999996</v>
      </c>
    </row>
    <row r="60" spans="4:9" x14ac:dyDescent="0.15">
      <c r="F60">
        <f>SUM(F51,H51,F54,H54,F57,H57)</f>
        <v>22797605321.2826</v>
      </c>
      <c r="G60">
        <f>F60/10^6</f>
        <v>22797.605321282601</v>
      </c>
    </row>
    <row r="63" spans="4:9" x14ac:dyDescent="0.15">
      <c r="F63">
        <v>344.7</v>
      </c>
      <c r="H63">
        <f>F63*(775-G49)/G60</f>
        <v>8.7540316707602202</v>
      </c>
    </row>
  </sheetData>
  <mergeCells count="7">
    <mergeCell ref="D11:E11"/>
    <mergeCell ref="D12:E12"/>
    <mergeCell ref="C6:G6"/>
    <mergeCell ref="D7:E7"/>
    <mergeCell ref="D8:E8"/>
    <mergeCell ref="D9:E9"/>
    <mergeCell ref="D10:E10"/>
  </mergeCells>
  <phoneticPr fontId="27" type="noConversion"/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5"/>
  <dimension ref="B2:O31"/>
  <sheetViews>
    <sheetView topLeftCell="A7" workbookViewId="0">
      <selection activeCell="H9" sqref="H9:H10"/>
    </sheetView>
  </sheetViews>
  <sheetFormatPr defaultColWidth="9" defaultRowHeight="13.5" x14ac:dyDescent="0.15"/>
  <sheetData>
    <row r="2" spans="2:14" ht="53.25" x14ac:dyDescent="0.15">
      <c r="B2" s="18" t="s">
        <v>2</v>
      </c>
      <c r="C2" s="375" t="s">
        <v>287</v>
      </c>
      <c r="D2" s="411"/>
      <c r="E2" s="376"/>
      <c r="F2" s="19" t="s">
        <v>288</v>
      </c>
      <c r="G2" s="19" t="s">
        <v>289</v>
      </c>
      <c r="H2" s="19" t="s">
        <v>290</v>
      </c>
      <c r="I2" s="19" t="s">
        <v>291</v>
      </c>
      <c r="J2" s="19" t="s">
        <v>292</v>
      </c>
      <c r="K2" s="29" t="s">
        <v>293</v>
      </c>
    </row>
    <row r="3" spans="2:14" ht="25.5" customHeight="1" x14ac:dyDescent="0.15">
      <c r="B3" s="381">
        <v>1</v>
      </c>
      <c r="C3" s="20" t="s">
        <v>294</v>
      </c>
      <c r="D3" s="389" t="s">
        <v>295</v>
      </c>
      <c r="E3" s="389" t="s">
        <v>296</v>
      </c>
      <c r="F3" s="20" t="s">
        <v>297</v>
      </c>
      <c r="G3" s="415">
        <v>2</v>
      </c>
      <c r="H3" s="415">
        <v>1.92</v>
      </c>
      <c r="I3" s="389" t="s">
        <v>298</v>
      </c>
      <c r="J3" s="415" t="s">
        <v>43</v>
      </c>
      <c r="K3" s="419" t="s">
        <v>43</v>
      </c>
    </row>
    <row r="4" spans="2:14" x14ac:dyDescent="0.15">
      <c r="B4" s="383"/>
      <c r="C4" s="20" t="s">
        <v>299</v>
      </c>
      <c r="D4" s="387"/>
      <c r="E4" s="387"/>
      <c r="F4" s="22" t="s">
        <v>300</v>
      </c>
      <c r="G4" s="416"/>
      <c r="H4" s="416"/>
      <c r="I4" s="388"/>
      <c r="J4" s="416"/>
      <c r="K4" s="420"/>
    </row>
    <row r="5" spans="2:14" ht="39.75" x14ac:dyDescent="0.15">
      <c r="B5" s="21">
        <v>2</v>
      </c>
      <c r="C5" s="23"/>
      <c r="D5" s="388"/>
      <c r="E5" s="388"/>
      <c r="F5" s="22" t="s">
        <v>301</v>
      </c>
      <c r="G5" s="24">
        <v>2</v>
      </c>
      <c r="H5" s="24">
        <v>5.42</v>
      </c>
      <c r="I5" s="22" t="s">
        <v>302</v>
      </c>
      <c r="J5" s="24" t="s">
        <v>43</v>
      </c>
      <c r="K5" s="30" t="s">
        <v>43</v>
      </c>
      <c r="N5">
        <f>SUM(H5,H8,H15,H16,H21,H29)</f>
        <v>13.63</v>
      </c>
    </row>
    <row r="6" spans="2:14" ht="26.25" x14ac:dyDescent="0.15">
      <c r="B6" s="381">
        <v>3</v>
      </c>
      <c r="C6" s="23"/>
      <c r="D6" s="20" t="s">
        <v>303</v>
      </c>
      <c r="E6" s="20" t="s">
        <v>303</v>
      </c>
      <c r="F6" s="413" t="s">
        <v>304</v>
      </c>
      <c r="G6" s="417">
        <v>17</v>
      </c>
      <c r="H6" s="417">
        <v>13.51</v>
      </c>
      <c r="I6" s="31" t="s">
        <v>305</v>
      </c>
      <c r="J6" s="415" t="s">
        <v>43</v>
      </c>
      <c r="K6" s="419" t="s">
        <v>43</v>
      </c>
    </row>
    <row r="7" spans="2:14" ht="39" x14ac:dyDescent="0.15">
      <c r="B7" s="383"/>
      <c r="C7" s="23"/>
      <c r="D7" s="20" t="s">
        <v>299</v>
      </c>
      <c r="E7" s="20" t="s">
        <v>306</v>
      </c>
      <c r="F7" s="414"/>
      <c r="G7" s="418"/>
      <c r="H7" s="418"/>
      <c r="I7" s="32" t="s">
        <v>307</v>
      </c>
      <c r="J7" s="416"/>
      <c r="K7" s="420"/>
    </row>
    <row r="8" spans="2:14" ht="39.75" x14ac:dyDescent="0.15">
      <c r="B8" s="21">
        <v>4</v>
      </c>
      <c r="C8" s="23"/>
      <c r="D8" s="23"/>
      <c r="E8" s="25"/>
      <c r="F8" s="22" t="s">
        <v>308</v>
      </c>
      <c r="G8" s="24">
        <v>1</v>
      </c>
      <c r="H8" s="24">
        <v>0.01</v>
      </c>
      <c r="I8" s="22" t="s">
        <v>309</v>
      </c>
      <c r="J8" s="24" t="s">
        <v>43</v>
      </c>
      <c r="K8" s="30" t="s">
        <v>43</v>
      </c>
    </row>
    <row r="9" spans="2:14" ht="26.25" x14ac:dyDescent="0.15">
      <c r="B9" s="381">
        <v>5</v>
      </c>
      <c r="C9" s="23"/>
      <c r="D9" s="23"/>
      <c r="E9" s="20" t="s">
        <v>303</v>
      </c>
      <c r="F9" s="389" t="s">
        <v>237</v>
      </c>
      <c r="G9" s="415">
        <v>1</v>
      </c>
      <c r="H9" s="415">
        <v>4.43</v>
      </c>
      <c r="I9" s="20" t="s">
        <v>310</v>
      </c>
      <c r="J9" s="415" t="s">
        <v>43</v>
      </c>
      <c r="K9" s="419" t="s">
        <v>43</v>
      </c>
    </row>
    <row r="10" spans="2:14" ht="39" x14ac:dyDescent="0.15">
      <c r="B10" s="383"/>
      <c r="C10" s="23"/>
      <c r="D10" s="23"/>
      <c r="E10" s="22" t="s">
        <v>311</v>
      </c>
      <c r="F10" s="388"/>
      <c r="G10" s="416"/>
      <c r="H10" s="416"/>
      <c r="I10" s="22" t="s">
        <v>312</v>
      </c>
      <c r="J10" s="416"/>
      <c r="K10" s="420"/>
    </row>
    <row r="11" spans="2:14" ht="26.25" x14ac:dyDescent="0.15">
      <c r="B11" s="381">
        <v>6</v>
      </c>
      <c r="C11" s="23"/>
      <c r="D11" s="23"/>
      <c r="E11" s="389" t="s">
        <v>313</v>
      </c>
      <c r="F11" s="389" t="s">
        <v>237</v>
      </c>
      <c r="G11" s="415">
        <v>1</v>
      </c>
      <c r="H11" s="415">
        <v>0.8</v>
      </c>
      <c r="I11" s="20" t="s">
        <v>314</v>
      </c>
      <c r="J11" s="415" t="s">
        <v>43</v>
      </c>
      <c r="K11" s="419" t="s">
        <v>43</v>
      </c>
    </row>
    <row r="12" spans="2:14" ht="39" x14ac:dyDescent="0.15">
      <c r="B12" s="383"/>
      <c r="C12" s="23"/>
      <c r="D12" s="23"/>
      <c r="E12" s="387"/>
      <c r="F12" s="388"/>
      <c r="G12" s="416"/>
      <c r="H12" s="416"/>
      <c r="I12" s="22" t="s">
        <v>315</v>
      </c>
      <c r="J12" s="416"/>
      <c r="K12" s="420"/>
    </row>
    <row r="13" spans="2:14" ht="26.25" x14ac:dyDescent="0.15">
      <c r="B13" s="381">
        <v>7</v>
      </c>
      <c r="C13" s="23"/>
      <c r="D13" s="23"/>
      <c r="E13" s="387"/>
      <c r="F13" s="389" t="s">
        <v>239</v>
      </c>
      <c r="G13" s="415">
        <v>2</v>
      </c>
      <c r="H13" s="415">
        <v>0.71</v>
      </c>
      <c r="I13" s="20" t="s">
        <v>316</v>
      </c>
      <c r="J13" s="415" t="s">
        <v>43</v>
      </c>
      <c r="K13" s="419" t="s">
        <v>43</v>
      </c>
    </row>
    <row r="14" spans="2:14" ht="39" x14ac:dyDescent="0.15">
      <c r="B14" s="383"/>
      <c r="C14" s="23"/>
      <c r="D14" s="23"/>
      <c r="E14" s="387"/>
      <c r="F14" s="388"/>
      <c r="G14" s="416"/>
      <c r="H14" s="416"/>
      <c r="I14" s="22" t="s">
        <v>317</v>
      </c>
      <c r="J14" s="416"/>
      <c r="K14" s="420"/>
    </row>
    <row r="15" spans="2:14" ht="39.75" x14ac:dyDescent="0.15">
      <c r="B15" s="21">
        <v>8</v>
      </c>
      <c r="C15" s="23"/>
      <c r="D15" s="23"/>
      <c r="E15" s="388"/>
      <c r="F15" s="22" t="s">
        <v>308</v>
      </c>
      <c r="G15" s="24">
        <v>12</v>
      </c>
      <c r="H15" s="24">
        <v>1.83</v>
      </c>
      <c r="I15" s="22" t="s">
        <v>318</v>
      </c>
      <c r="J15" s="24" t="s">
        <v>43</v>
      </c>
      <c r="K15" s="30" t="s">
        <v>43</v>
      </c>
    </row>
    <row r="16" spans="2:14" ht="39.75" x14ac:dyDescent="0.15">
      <c r="B16" s="21">
        <v>9</v>
      </c>
      <c r="C16" s="23"/>
      <c r="D16" s="23"/>
      <c r="E16" s="389" t="s">
        <v>319</v>
      </c>
      <c r="F16" s="22" t="s">
        <v>308</v>
      </c>
      <c r="G16" s="24">
        <v>3</v>
      </c>
      <c r="H16" s="24">
        <v>0.11</v>
      </c>
      <c r="I16" s="22" t="s">
        <v>320</v>
      </c>
      <c r="J16" s="24" t="s">
        <v>43</v>
      </c>
      <c r="K16" s="30" t="s">
        <v>43</v>
      </c>
    </row>
    <row r="17" spans="2:15" ht="26.25" x14ac:dyDescent="0.15">
      <c r="B17" s="381">
        <v>10</v>
      </c>
      <c r="C17" s="23"/>
      <c r="D17" s="23"/>
      <c r="E17" s="387"/>
      <c r="F17" s="389" t="s">
        <v>242</v>
      </c>
      <c r="G17" s="415">
        <v>1</v>
      </c>
      <c r="H17" s="415">
        <v>0.73</v>
      </c>
      <c r="I17" s="20" t="s">
        <v>321</v>
      </c>
      <c r="J17" s="415" t="s">
        <v>43</v>
      </c>
      <c r="K17" s="419" t="s">
        <v>43</v>
      </c>
    </row>
    <row r="18" spans="2:15" ht="39" x14ac:dyDescent="0.15">
      <c r="B18" s="383"/>
      <c r="C18" s="23"/>
      <c r="D18" s="25"/>
      <c r="E18" s="388"/>
      <c r="F18" s="388"/>
      <c r="G18" s="416"/>
      <c r="H18" s="416"/>
      <c r="I18" s="22" t="s">
        <v>322</v>
      </c>
      <c r="J18" s="416"/>
      <c r="K18" s="420"/>
    </row>
    <row r="19" spans="2:15" ht="26.25" x14ac:dyDescent="0.15">
      <c r="B19" s="381">
        <v>11</v>
      </c>
      <c r="C19" s="23"/>
      <c r="D19" s="389" t="s">
        <v>323</v>
      </c>
      <c r="E19" s="20" t="s">
        <v>324</v>
      </c>
      <c r="F19" s="389" t="s">
        <v>242</v>
      </c>
      <c r="G19" s="415">
        <v>170</v>
      </c>
      <c r="H19" s="415">
        <v>161.5</v>
      </c>
      <c r="I19" s="20" t="s">
        <v>325</v>
      </c>
      <c r="J19" s="415">
        <v>0.25</v>
      </c>
      <c r="K19" s="390" t="s">
        <v>326</v>
      </c>
      <c r="O19">
        <f>SUM(H6,H9,H11,H13,H17,H25,H27)</f>
        <v>30.72</v>
      </c>
    </row>
    <row r="20" spans="2:15" ht="39" x14ac:dyDescent="0.15">
      <c r="B20" s="383"/>
      <c r="C20" s="23"/>
      <c r="D20" s="387"/>
      <c r="E20" s="20" t="s">
        <v>327</v>
      </c>
      <c r="F20" s="388"/>
      <c r="G20" s="416"/>
      <c r="H20" s="416"/>
      <c r="I20" s="22" t="s">
        <v>328</v>
      </c>
      <c r="J20" s="416"/>
      <c r="K20" s="391"/>
      <c r="O20">
        <f>H19</f>
        <v>161.5</v>
      </c>
    </row>
    <row r="21" spans="2:15" ht="39.75" x14ac:dyDescent="0.15">
      <c r="B21" s="21">
        <v>12</v>
      </c>
      <c r="C21" s="23"/>
      <c r="D21" s="387"/>
      <c r="E21" s="25"/>
      <c r="F21" s="22" t="s">
        <v>308</v>
      </c>
      <c r="G21" s="24">
        <v>26</v>
      </c>
      <c r="H21" s="24">
        <v>4.87</v>
      </c>
      <c r="I21" s="22" t="s">
        <v>329</v>
      </c>
      <c r="J21" s="24" t="s">
        <v>43</v>
      </c>
      <c r="K21" s="30" t="s">
        <v>43</v>
      </c>
      <c r="O21">
        <f>SUM(H5,H8,H15,H16,H29)</f>
        <v>8.76</v>
      </c>
    </row>
    <row r="22" spans="2:15" ht="39" x14ac:dyDescent="0.15">
      <c r="B22" s="381">
        <v>13</v>
      </c>
      <c r="C22" s="23"/>
      <c r="D22" s="387"/>
      <c r="E22" s="389" t="s">
        <v>48</v>
      </c>
      <c r="F22" s="389" t="s">
        <v>330</v>
      </c>
      <c r="G22" s="415">
        <v>6</v>
      </c>
      <c r="H22" s="415" t="s">
        <v>43</v>
      </c>
      <c r="I22" s="20" t="s">
        <v>331</v>
      </c>
      <c r="J22" s="415" t="s">
        <v>43</v>
      </c>
      <c r="K22" s="419" t="s">
        <v>43</v>
      </c>
    </row>
    <row r="23" spans="2:15" ht="39" x14ac:dyDescent="0.15">
      <c r="B23" s="383"/>
      <c r="C23" s="23"/>
      <c r="D23" s="387"/>
      <c r="E23" s="387"/>
      <c r="F23" s="388"/>
      <c r="G23" s="416"/>
      <c r="H23" s="416"/>
      <c r="I23" s="22" t="s">
        <v>332</v>
      </c>
      <c r="J23" s="416"/>
      <c r="K23" s="420"/>
    </row>
    <row r="24" spans="2:15" x14ac:dyDescent="0.15">
      <c r="B24" s="21">
        <v>14</v>
      </c>
      <c r="C24" s="25"/>
      <c r="D24" s="388"/>
      <c r="E24" s="388"/>
      <c r="F24" s="22" t="s">
        <v>333</v>
      </c>
      <c r="G24" s="24">
        <v>1</v>
      </c>
      <c r="H24" s="24" t="s">
        <v>43</v>
      </c>
      <c r="I24" s="24" t="s">
        <v>43</v>
      </c>
      <c r="J24" s="24" t="s">
        <v>43</v>
      </c>
      <c r="K24" s="30" t="s">
        <v>43</v>
      </c>
    </row>
    <row r="25" spans="2:15" ht="26.25" x14ac:dyDescent="0.15">
      <c r="B25" s="381">
        <v>15</v>
      </c>
      <c r="C25" s="20" t="s">
        <v>334</v>
      </c>
      <c r="D25" s="389" t="s">
        <v>335</v>
      </c>
      <c r="E25" s="389" t="s">
        <v>23</v>
      </c>
      <c r="F25" s="389" t="s">
        <v>237</v>
      </c>
      <c r="G25" s="415">
        <v>1</v>
      </c>
      <c r="H25" s="415">
        <v>1.4</v>
      </c>
      <c r="I25" s="20" t="s">
        <v>336</v>
      </c>
      <c r="J25" s="415">
        <v>0.3</v>
      </c>
      <c r="K25" s="33" t="s">
        <v>337</v>
      </c>
    </row>
    <row r="26" spans="2:15" ht="39" x14ac:dyDescent="0.15">
      <c r="B26" s="383"/>
      <c r="C26" s="20" t="s">
        <v>299</v>
      </c>
      <c r="D26" s="387"/>
      <c r="E26" s="388"/>
      <c r="F26" s="388"/>
      <c r="G26" s="416"/>
      <c r="H26" s="416"/>
      <c r="I26" s="22" t="s">
        <v>322</v>
      </c>
      <c r="J26" s="416"/>
      <c r="K26" s="34" t="s">
        <v>338</v>
      </c>
    </row>
    <row r="27" spans="2:15" ht="26.25" x14ac:dyDescent="0.15">
      <c r="B27" s="381">
        <v>16</v>
      </c>
      <c r="C27" s="23"/>
      <c r="D27" s="387"/>
      <c r="E27" s="389" t="s">
        <v>24</v>
      </c>
      <c r="F27" s="389" t="s">
        <v>237</v>
      </c>
      <c r="G27" s="415">
        <v>2</v>
      </c>
      <c r="H27" s="415">
        <v>9.14</v>
      </c>
      <c r="I27" s="20" t="s">
        <v>339</v>
      </c>
      <c r="J27" s="415">
        <v>0.25</v>
      </c>
      <c r="K27" s="33" t="s">
        <v>340</v>
      </c>
    </row>
    <row r="28" spans="2:15" ht="39" x14ac:dyDescent="0.15">
      <c r="B28" s="383"/>
      <c r="C28" s="23"/>
      <c r="D28" s="387"/>
      <c r="E28" s="387"/>
      <c r="F28" s="388"/>
      <c r="G28" s="416"/>
      <c r="H28" s="416"/>
      <c r="I28" s="22" t="s">
        <v>341</v>
      </c>
      <c r="J28" s="416"/>
      <c r="K28" s="34" t="s">
        <v>338</v>
      </c>
    </row>
    <row r="29" spans="2:15" ht="39.75" x14ac:dyDescent="0.15">
      <c r="B29" s="21">
        <v>17</v>
      </c>
      <c r="C29" s="25"/>
      <c r="D29" s="388"/>
      <c r="E29" s="388"/>
      <c r="F29" s="22" t="s">
        <v>342</v>
      </c>
      <c r="G29" s="24">
        <v>1</v>
      </c>
      <c r="H29" s="24">
        <v>1.39</v>
      </c>
      <c r="I29" s="22" t="s">
        <v>343</v>
      </c>
      <c r="J29" s="24" t="s">
        <v>43</v>
      </c>
      <c r="K29" s="30" t="s">
        <v>43</v>
      </c>
    </row>
    <row r="30" spans="2:15" ht="39" x14ac:dyDescent="0.15">
      <c r="B30" s="21">
        <v>18</v>
      </c>
      <c r="C30" s="389" t="s">
        <v>344</v>
      </c>
      <c r="D30" s="421" t="s">
        <v>78</v>
      </c>
      <c r="E30" s="422"/>
      <c r="F30" s="22" t="s">
        <v>345</v>
      </c>
      <c r="G30" s="24">
        <v>11</v>
      </c>
      <c r="H30" s="24">
        <v>147.4</v>
      </c>
      <c r="I30" s="22" t="s">
        <v>346</v>
      </c>
      <c r="J30" s="24" t="s">
        <v>43</v>
      </c>
      <c r="K30" s="30" t="s">
        <v>43</v>
      </c>
    </row>
    <row r="31" spans="2:15" ht="26.25" x14ac:dyDescent="0.15">
      <c r="B31" s="26">
        <v>19</v>
      </c>
      <c r="C31" s="412"/>
      <c r="D31" s="423"/>
      <c r="E31" s="424"/>
      <c r="F31" s="27" t="s">
        <v>347</v>
      </c>
      <c r="G31" s="28">
        <v>5</v>
      </c>
      <c r="H31" s="28">
        <v>13.7</v>
      </c>
      <c r="I31" s="27" t="s">
        <v>348</v>
      </c>
      <c r="J31" s="28" t="s">
        <v>43</v>
      </c>
      <c r="K31" s="35" t="s">
        <v>43</v>
      </c>
    </row>
  </sheetData>
  <mergeCells count="70">
    <mergeCell ref="J27:J28"/>
    <mergeCell ref="K3:K4"/>
    <mergeCell ref="K6:K7"/>
    <mergeCell ref="K9:K10"/>
    <mergeCell ref="K11:K12"/>
    <mergeCell ref="K13:K14"/>
    <mergeCell ref="K17:K18"/>
    <mergeCell ref="K19:K20"/>
    <mergeCell ref="K22:K23"/>
    <mergeCell ref="J13:J14"/>
    <mergeCell ref="J17:J18"/>
    <mergeCell ref="J19:J20"/>
    <mergeCell ref="J22:J23"/>
    <mergeCell ref="J25:J26"/>
    <mergeCell ref="I3:I4"/>
    <mergeCell ref="J3:J4"/>
    <mergeCell ref="J6:J7"/>
    <mergeCell ref="J9:J10"/>
    <mergeCell ref="J11:J12"/>
    <mergeCell ref="H17:H18"/>
    <mergeCell ref="H19:H20"/>
    <mergeCell ref="H22:H23"/>
    <mergeCell ref="H25:H26"/>
    <mergeCell ref="H27:H28"/>
    <mergeCell ref="H3:H4"/>
    <mergeCell ref="H6:H7"/>
    <mergeCell ref="H9:H10"/>
    <mergeCell ref="H11:H12"/>
    <mergeCell ref="H13:H14"/>
    <mergeCell ref="G17:G18"/>
    <mergeCell ref="G19:G20"/>
    <mergeCell ref="G22:G23"/>
    <mergeCell ref="G25:G26"/>
    <mergeCell ref="G27:G28"/>
    <mergeCell ref="G3:G4"/>
    <mergeCell ref="G6:G7"/>
    <mergeCell ref="G9:G10"/>
    <mergeCell ref="G11:G12"/>
    <mergeCell ref="G13:G14"/>
    <mergeCell ref="E16:E18"/>
    <mergeCell ref="E22:E24"/>
    <mergeCell ref="E25:E26"/>
    <mergeCell ref="E27:E29"/>
    <mergeCell ref="F6:F7"/>
    <mergeCell ref="F9:F10"/>
    <mergeCell ref="F11:F12"/>
    <mergeCell ref="F13:F14"/>
    <mergeCell ref="F17:F18"/>
    <mergeCell ref="F19:F20"/>
    <mergeCell ref="F22:F23"/>
    <mergeCell ref="F25:F26"/>
    <mergeCell ref="F27:F28"/>
    <mergeCell ref="B27:B28"/>
    <mergeCell ref="C30:C31"/>
    <mergeCell ref="D3:D5"/>
    <mergeCell ref="D19:D24"/>
    <mergeCell ref="D25:D29"/>
    <mergeCell ref="D30:E31"/>
    <mergeCell ref="B13:B14"/>
    <mergeCell ref="B17:B18"/>
    <mergeCell ref="B19:B20"/>
    <mergeCell ref="B22:B23"/>
    <mergeCell ref="B25:B26"/>
    <mergeCell ref="C2:E2"/>
    <mergeCell ref="B3:B4"/>
    <mergeCell ref="B6:B7"/>
    <mergeCell ref="B9:B10"/>
    <mergeCell ref="B11:B12"/>
    <mergeCell ref="E3:E5"/>
    <mergeCell ref="E11:E15"/>
  </mergeCells>
  <phoneticPr fontId="27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6"/>
  <dimension ref="J1:R51"/>
  <sheetViews>
    <sheetView topLeftCell="A13" workbookViewId="0">
      <selection activeCell="L17" sqref="L17:L18"/>
    </sheetView>
  </sheetViews>
  <sheetFormatPr defaultColWidth="9" defaultRowHeight="13.5" x14ac:dyDescent="0.15"/>
  <cols>
    <col min="12" max="12" width="13.875" customWidth="1"/>
    <col min="13" max="13" width="16" customWidth="1"/>
  </cols>
  <sheetData>
    <row r="1" spans="10:17" x14ac:dyDescent="0.15">
      <c r="J1" s="378" t="s">
        <v>304</v>
      </c>
      <c r="K1" s="425">
        <v>2</v>
      </c>
      <c r="L1" s="428" t="s">
        <v>349</v>
      </c>
      <c r="M1" s="14" t="s">
        <v>350</v>
      </c>
      <c r="N1">
        <v>0.7</v>
      </c>
      <c r="P1">
        <f>N1</f>
        <v>0.7</v>
      </c>
      <c r="Q1">
        <f>O2*P1</f>
        <v>0</v>
      </c>
    </row>
    <row r="2" spans="10:17" x14ac:dyDescent="0.15">
      <c r="J2" s="380"/>
      <c r="K2" s="416"/>
      <c r="L2" s="429"/>
      <c r="M2" s="15" t="s">
        <v>351</v>
      </c>
      <c r="N2">
        <v>0.14000000000000001</v>
      </c>
      <c r="O2">
        <f>IF(N2&gt;0.15,1,0)</f>
        <v>0</v>
      </c>
    </row>
    <row r="3" spans="10:17" x14ac:dyDescent="0.15">
      <c r="J3" s="384" t="s">
        <v>304</v>
      </c>
      <c r="K3" s="415">
        <v>2</v>
      </c>
      <c r="L3" s="430" t="s">
        <v>349</v>
      </c>
      <c r="M3" s="16" t="s">
        <v>350</v>
      </c>
      <c r="N3">
        <v>0.7</v>
      </c>
      <c r="P3">
        <f t="shared" ref="P3" si="0">N3</f>
        <v>0.7</v>
      </c>
      <c r="Q3">
        <f t="shared" ref="Q3" si="1">O4*P3</f>
        <v>0.7</v>
      </c>
    </row>
    <row r="4" spans="10:17" x14ac:dyDescent="0.15">
      <c r="J4" s="380"/>
      <c r="K4" s="416"/>
      <c r="L4" s="429"/>
      <c r="M4" s="15" t="s">
        <v>351</v>
      </c>
      <c r="N4">
        <v>0.2</v>
      </c>
      <c r="O4">
        <f t="shared" ref="O4" si="2">IF(N4&gt;0.15,1,0)</f>
        <v>1</v>
      </c>
    </row>
    <row r="5" spans="10:17" x14ac:dyDescent="0.15">
      <c r="J5" s="384" t="s">
        <v>304</v>
      </c>
      <c r="K5" s="415">
        <v>1</v>
      </c>
      <c r="L5" s="430" t="s">
        <v>349</v>
      </c>
      <c r="M5" s="16" t="s">
        <v>350</v>
      </c>
      <c r="N5">
        <v>0.7</v>
      </c>
      <c r="P5">
        <f t="shared" ref="P5" si="3">N5</f>
        <v>0.7</v>
      </c>
      <c r="Q5">
        <f t="shared" ref="Q5" si="4">O6*P5</f>
        <v>0.7</v>
      </c>
    </row>
    <row r="6" spans="10:17" x14ac:dyDescent="0.15">
      <c r="J6" s="380"/>
      <c r="K6" s="416"/>
      <c r="L6" s="429"/>
      <c r="M6" s="15" t="s">
        <v>351</v>
      </c>
      <c r="N6">
        <v>0.18</v>
      </c>
      <c r="O6">
        <f t="shared" ref="O6" si="5">IF(N6&gt;0.15,1,0)</f>
        <v>1</v>
      </c>
    </row>
    <row r="7" spans="10:17" x14ac:dyDescent="0.15">
      <c r="J7" s="384" t="s">
        <v>304</v>
      </c>
      <c r="K7" s="415">
        <v>1</v>
      </c>
      <c r="L7" s="430" t="s">
        <v>349</v>
      </c>
      <c r="M7" s="16" t="s">
        <v>350</v>
      </c>
      <c r="N7">
        <v>0.7</v>
      </c>
      <c r="P7">
        <f t="shared" ref="P7" si="6">N7</f>
        <v>0.7</v>
      </c>
      <c r="Q7">
        <f t="shared" ref="Q7" si="7">O8*P7</f>
        <v>0.7</v>
      </c>
    </row>
    <row r="8" spans="10:17" x14ac:dyDescent="0.15">
      <c r="J8" s="380"/>
      <c r="K8" s="416"/>
      <c r="L8" s="429"/>
      <c r="M8" s="15" t="s">
        <v>351</v>
      </c>
      <c r="N8">
        <v>0.22</v>
      </c>
      <c r="O8">
        <f t="shared" ref="O8" si="8">IF(N8&gt;0.15,1,0)</f>
        <v>1</v>
      </c>
    </row>
    <row r="9" spans="10:17" x14ac:dyDescent="0.15">
      <c r="J9" s="384" t="s">
        <v>304</v>
      </c>
      <c r="K9" s="415">
        <v>1</v>
      </c>
      <c r="L9" s="430" t="s">
        <v>352</v>
      </c>
      <c r="M9" s="16" t="s">
        <v>350</v>
      </c>
      <c r="N9">
        <v>0.7</v>
      </c>
      <c r="P9">
        <f t="shared" ref="P9" si="9">N9</f>
        <v>0.7</v>
      </c>
      <c r="Q9">
        <f t="shared" ref="Q9" si="10">O10*P9</f>
        <v>0.7</v>
      </c>
    </row>
    <row r="10" spans="10:17" x14ac:dyDescent="0.15">
      <c r="J10" s="380"/>
      <c r="K10" s="416"/>
      <c r="L10" s="429"/>
      <c r="M10" s="15" t="s">
        <v>351</v>
      </c>
      <c r="N10">
        <v>0.2</v>
      </c>
      <c r="O10">
        <f t="shared" ref="O10" si="11">IF(N10&gt;0.15,1,0)</f>
        <v>1</v>
      </c>
    </row>
    <row r="11" spans="10:17" x14ac:dyDescent="0.15">
      <c r="J11" s="384" t="s">
        <v>304</v>
      </c>
      <c r="K11" s="415">
        <v>1</v>
      </c>
      <c r="L11" s="430" t="s">
        <v>352</v>
      </c>
      <c r="M11" s="16" t="s">
        <v>350</v>
      </c>
      <c r="N11">
        <v>0.7</v>
      </c>
      <c r="P11">
        <f t="shared" ref="P11" si="12">N11</f>
        <v>0.7</v>
      </c>
      <c r="Q11">
        <f t="shared" ref="Q11" si="13">O12*P11</f>
        <v>0.7</v>
      </c>
    </row>
    <row r="12" spans="10:17" x14ac:dyDescent="0.15">
      <c r="J12" s="380"/>
      <c r="K12" s="416"/>
      <c r="L12" s="429"/>
      <c r="M12" s="15" t="s">
        <v>351</v>
      </c>
      <c r="N12">
        <v>0.16</v>
      </c>
      <c r="O12">
        <f t="shared" ref="O12" si="14">IF(N12&gt;0.15,1,0)</f>
        <v>1</v>
      </c>
    </row>
    <row r="13" spans="10:17" x14ac:dyDescent="0.15">
      <c r="J13" s="384" t="s">
        <v>304</v>
      </c>
      <c r="K13" s="415">
        <v>1</v>
      </c>
      <c r="L13" s="430" t="s">
        <v>352</v>
      </c>
      <c r="M13" s="16" t="s">
        <v>350</v>
      </c>
      <c r="N13">
        <v>0.7</v>
      </c>
      <c r="P13">
        <f t="shared" ref="P13" si="15">N13</f>
        <v>0.7</v>
      </c>
      <c r="Q13">
        <f t="shared" ref="Q13" si="16">O14*P13</f>
        <v>0</v>
      </c>
    </row>
    <row r="14" spans="10:17" x14ac:dyDescent="0.15">
      <c r="J14" s="380"/>
      <c r="K14" s="416"/>
      <c r="L14" s="429"/>
      <c r="M14" s="15" t="s">
        <v>351</v>
      </c>
      <c r="N14">
        <v>0.1</v>
      </c>
      <c r="O14">
        <f t="shared" ref="O14" si="17">IF(N14&gt;0.15,1,0)</f>
        <v>0</v>
      </c>
    </row>
    <row r="15" spans="10:17" x14ac:dyDescent="0.15">
      <c r="J15" s="384" t="s">
        <v>304</v>
      </c>
      <c r="K15" s="415">
        <v>1</v>
      </c>
      <c r="L15" s="430" t="s">
        <v>352</v>
      </c>
      <c r="M15" s="16" t="s">
        <v>350</v>
      </c>
      <c r="N15">
        <v>0.7</v>
      </c>
      <c r="P15">
        <f t="shared" ref="P15" si="18">N15</f>
        <v>0.7</v>
      </c>
      <c r="Q15">
        <f t="shared" ref="Q15" si="19">O16*P15</f>
        <v>0.7</v>
      </c>
    </row>
    <row r="16" spans="10:17" x14ac:dyDescent="0.15">
      <c r="J16" s="380"/>
      <c r="K16" s="416"/>
      <c r="L16" s="429"/>
      <c r="M16" s="15" t="s">
        <v>351</v>
      </c>
      <c r="N16">
        <v>0.16</v>
      </c>
      <c r="O16">
        <f t="shared" ref="O16" si="20">IF(N16&gt;0.15,1,0)</f>
        <v>1</v>
      </c>
    </row>
    <row r="17" spans="10:17" x14ac:dyDescent="0.15">
      <c r="J17" s="384" t="s">
        <v>304</v>
      </c>
      <c r="K17" s="415">
        <v>2</v>
      </c>
      <c r="L17" s="430" t="s">
        <v>353</v>
      </c>
      <c r="M17" s="16" t="s">
        <v>350</v>
      </c>
      <c r="N17">
        <v>0.7</v>
      </c>
      <c r="P17">
        <f t="shared" ref="P17" si="21">N17</f>
        <v>0.7</v>
      </c>
      <c r="Q17">
        <f t="shared" ref="Q17" si="22">O18*P17</f>
        <v>0.7</v>
      </c>
    </row>
    <row r="18" spans="10:17" x14ac:dyDescent="0.15">
      <c r="J18" s="379"/>
      <c r="K18" s="426"/>
      <c r="L18" s="429"/>
      <c r="M18" s="15" t="s">
        <v>351</v>
      </c>
      <c r="N18">
        <v>0.26</v>
      </c>
      <c r="O18">
        <f t="shared" ref="O18" si="23">IF(N18&gt;0.15,1,0)</f>
        <v>1</v>
      </c>
    </row>
    <row r="19" spans="10:17" x14ac:dyDescent="0.15">
      <c r="J19" s="379"/>
      <c r="K19" s="426"/>
      <c r="L19" s="430" t="s">
        <v>354</v>
      </c>
      <c r="M19" s="16" t="s">
        <v>350</v>
      </c>
      <c r="N19">
        <v>0.7</v>
      </c>
      <c r="P19">
        <f t="shared" ref="P19" si="24">N19</f>
        <v>0.7</v>
      </c>
      <c r="Q19">
        <f t="shared" ref="Q19" si="25">O20*P19</f>
        <v>0</v>
      </c>
    </row>
    <row r="20" spans="10:17" x14ac:dyDescent="0.15">
      <c r="J20" s="380"/>
      <c r="K20" s="416"/>
      <c r="L20" s="429"/>
      <c r="M20" s="15" t="s">
        <v>351</v>
      </c>
      <c r="N20">
        <v>0.1</v>
      </c>
      <c r="O20">
        <f t="shared" ref="O20" si="26">IF(N20&gt;0.15,1,0)</f>
        <v>0</v>
      </c>
    </row>
    <row r="21" spans="10:17" x14ac:dyDescent="0.15">
      <c r="J21" s="384" t="s">
        <v>304</v>
      </c>
      <c r="K21" s="415">
        <v>2</v>
      </c>
      <c r="L21" s="430" t="s">
        <v>353</v>
      </c>
      <c r="M21" s="16" t="s">
        <v>350</v>
      </c>
      <c r="N21">
        <v>0.7</v>
      </c>
      <c r="P21">
        <f t="shared" ref="P21" si="27">N21</f>
        <v>0.7</v>
      </c>
      <c r="Q21">
        <f t="shared" ref="Q21" si="28">O22*P21</f>
        <v>0.7</v>
      </c>
    </row>
    <row r="22" spans="10:17" x14ac:dyDescent="0.15">
      <c r="J22" s="379"/>
      <c r="K22" s="426"/>
      <c r="L22" s="429"/>
      <c r="M22" s="15" t="s">
        <v>351</v>
      </c>
      <c r="N22">
        <v>0.28000000000000003</v>
      </c>
      <c r="O22">
        <f t="shared" ref="O22" si="29">IF(N22&gt;0.15,1,0)</f>
        <v>1</v>
      </c>
    </row>
    <row r="23" spans="10:17" x14ac:dyDescent="0.15">
      <c r="J23" s="379"/>
      <c r="K23" s="426"/>
      <c r="L23" s="430" t="s">
        <v>354</v>
      </c>
      <c r="M23" s="16" t="s">
        <v>350</v>
      </c>
      <c r="N23">
        <v>0.7</v>
      </c>
      <c r="P23">
        <f t="shared" ref="P23" si="30">N23</f>
        <v>0.7</v>
      </c>
      <c r="Q23">
        <f t="shared" ref="Q23" si="31">O24*P23</f>
        <v>0</v>
      </c>
    </row>
    <row r="24" spans="10:17" x14ac:dyDescent="0.15">
      <c r="J24" s="380"/>
      <c r="K24" s="416"/>
      <c r="L24" s="429"/>
      <c r="M24" s="15" t="s">
        <v>351</v>
      </c>
      <c r="N24">
        <v>0.1</v>
      </c>
      <c r="O24">
        <f t="shared" ref="O24" si="32">IF(N24&gt;0.15,1,0)</f>
        <v>0</v>
      </c>
    </row>
    <row r="25" spans="10:17" x14ac:dyDescent="0.15">
      <c r="J25" s="384" t="s">
        <v>304</v>
      </c>
      <c r="K25" s="415">
        <v>1</v>
      </c>
      <c r="L25" s="430" t="s">
        <v>353</v>
      </c>
      <c r="M25" s="16" t="s">
        <v>350</v>
      </c>
      <c r="N25">
        <v>0.7</v>
      </c>
      <c r="P25">
        <f t="shared" ref="P25" si="33">N25</f>
        <v>0.7</v>
      </c>
      <c r="Q25">
        <f t="shared" ref="Q25" si="34">O26*P25</f>
        <v>0.7</v>
      </c>
    </row>
    <row r="26" spans="10:17" x14ac:dyDescent="0.15">
      <c r="J26" s="380"/>
      <c r="K26" s="416"/>
      <c r="L26" s="429"/>
      <c r="M26" s="15" t="s">
        <v>351</v>
      </c>
      <c r="N26">
        <v>0.24</v>
      </c>
      <c r="O26">
        <f t="shared" ref="O26" si="35">IF(N26&gt;0.15,1,0)</f>
        <v>1</v>
      </c>
    </row>
    <row r="27" spans="10:17" x14ac:dyDescent="0.15">
      <c r="J27" s="384" t="s">
        <v>304</v>
      </c>
      <c r="K27" s="415">
        <v>1</v>
      </c>
      <c r="L27" s="430" t="s">
        <v>352</v>
      </c>
      <c r="M27" s="16" t="s">
        <v>350</v>
      </c>
      <c r="N27">
        <v>0.7</v>
      </c>
      <c r="P27">
        <f t="shared" ref="P27" si="36">N27</f>
        <v>0.7</v>
      </c>
      <c r="Q27">
        <f t="shared" ref="Q27" si="37">O28*P27</f>
        <v>0.7</v>
      </c>
    </row>
    <row r="28" spans="10:17" x14ac:dyDescent="0.15">
      <c r="J28" s="380"/>
      <c r="K28" s="416"/>
      <c r="L28" s="429"/>
      <c r="M28" s="15" t="s">
        <v>351</v>
      </c>
      <c r="N28">
        <v>0.2</v>
      </c>
      <c r="O28">
        <f t="shared" ref="O28" si="38">IF(N28&gt;0.15,1,0)</f>
        <v>1</v>
      </c>
    </row>
    <row r="29" spans="10:17" x14ac:dyDescent="0.15">
      <c r="J29" s="384" t="s">
        <v>237</v>
      </c>
      <c r="K29" s="415">
        <v>1</v>
      </c>
      <c r="L29" s="430" t="s">
        <v>355</v>
      </c>
      <c r="M29" s="16" t="s">
        <v>350</v>
      </c>
      <c r="N29">
        <v>1.03</v>
      </c>
      <c r="P29">
        <f t="shared" ref="P29" si="39">N29</f>
        <v>1.03</v>
      </c>
      <c r="Q29">
        <f t="shared" ref="Q29" si="40">O30*P29</f>
        <v>1.03</v>
      </c>
    </row>
    <row r="30" spans="10:17" x14ac:dyDescent="0.15">
      <c r="J30" s="380"/>
      <c r="K30" s="416"/>
      <c r="L30" s="429"/>
      <c r="M30" s="15" t="s">
        <v>351</v>
      </c>
      <c r="N30">
        <v>0.52</v>
      </c>
      <c r="O30">
        <f t="shared" ref="O30" si="41">IF(N30&gt;0.15,1,0)</f>
        <v>1</v>
      </c>
    </row>
    <row r="31" spans="10:17" x14ac:dyDescent="0.15">
      <c r="J31" s="384" t="s">
        <v>304</v>
      </c>
      <c r="K31" s="415">
        <v>1</v>
      </c>
      <c r="L31" s="430" t="s">
        <v>356</v>
      </c>
      <c r="M31" s="16" t="s">
        <v>350</v>
      </c>
      <c r="N31">
        <v>1.6</v>
      </c>
      <c r="P31">
        <f t="shared" ref="P31" si="42">N31</f>
        <v>1.6</v>
      </c>
      <c r="Q31">
        <f t="shared" ref="Q31" si="43">O32*P31</f>
        <v>0</v>
      </c>
    </row>
    <row r="32" spans="10:17" x14ac:dyDescent="0.15">
      <c r="J32" s="380"/>
      <c r="K32" s="416"/>
      <c r="L32" s="429"/>
      <c r="M32" s="15" t="s">
        <v>351</v>
      </c>
      <c r="N32">
        <v>0.08</v>
      </c>
      <c r="O32">
        <f t="shared" ref="O32" si="44">IF(N32&gt;0.15,1,0)</f>
        <v>0</v>
      </c>
    </row>
    <row r="33" spans="10:18" x14ac:dyDescent="0.15">
      <c r="J33" s="384" t="s">
        <v>304</v>
      </c>
      <c r="K33" s="415">
        <v>1</v>
      </c>
      <c r="L33" s="430" t="s">
        <v>357</v>
      </c>
      <c r="M33" s="16" t="s">
        <v>350</v>
      </c>
      <c r="N33">
        <v>1.41</v>
      </c>
      <c r="P33">
        <f t="shared" ref="P33" si="45">N33</f>
        <v>1.41</v>
      </c>
      <c r="Q33">
        <f t="shared" ref="Q33" si="46">O34*P33</f>
        <v>0</v>
      </c>
    </row>
    <row r="34" spans="10:18" x14ac:dyDescent="0.15">
      <c r="J34" s="380"/>
      <c r="K34" s="416"/>
      <c r="L34" s="429"/>
      <c r="M34" s="15" t="s">
        <v>351</v>
      </c>
      <c r="N34">
        <v>0.1</v>
      </c>
      <c r="O34">
        <f t="shared" ref="O34" si="47">IF(N34&gt;0.15,1,0)</f>
        <v>0</v>
      </c>
    </row>
    <row r="35" spans="10:18" x14ac:dyDescent="0.15">
      <c r="J35" s="384" t="s">
        <v>304</v>
      </c>
      <c r="K35" s="415">
        <v>1</v>
      </c>
      <c r="L35" s="430" t="s">
        <v>358</v>
      </c>
      <c r="M35" s="16" t="s">
        <v>350</v>
      </c>
      <c r="N35">
        <v>0.7</v>
      </c>
      <c r="P35">
        <f t="shared" ref="P35" si="48">N35</f>
        <v>0.7</v>
      </c>
      <c r="Q35">
        <f t="shared" ref="Q35" si="49">O36*P35</f>
        <v>0</v>
      </c>
    </row>
    <row r="36" spans="10:18" x14ac:dyDescent="0.15">
      <c r="J36" s="385"/>
      <c r="K36" s="427"/>
      <c r="L36" s="431"/>
      <c r="M36" s="17" t="s">
        <v>351</v>
      </c>
      <c r="N36">
        <v>0.1</v>
      </c>
      <c r="O36">
        <f t="shared" ref="O36" si="50">IF(N36&gt;0.15,1,0)</f>
        <v>0</v>
      </c>
    </row>
    <row r="40" spans="10:18" x14ac:dyDescent="0.15">
      <c r="P40" t="s">
        <v>359</v>
      </c>
      <c r="Q40" t="s">
        <v>360</v>
      </c>
      <c r="R40" t="s">
        <v>361</v>
      </c>
    </row>
    <row r="41" spans="10:18" x14ac:dyDescent="0.15">
      <c r="P41">
        <v>14.54</v>
      </c>
      <c r="Q41">
        <v>8.0299999999999994</v>
      </c>
      <c r="R41">
        <f>P41-Q41</f>
        <v>6.51</v>
      </c>
    </row>
    <row r="42" spans="10:18" x14ac:dyDescent="0.15">
      <c r="Q42">
        <v>0.8</v>
      </c>
      <c r="R42">
        <v>161.5</v>
      </c>
    </row>
    <row r="43" spans="10:18" x14ac:dyDescent="0.15">
      <c r="Q43">
        <v>0.37</v>
      </c>
    </row>
    <row r="44" spans="10:18" x14ac:dyDescent="0.15">
      <c r="Q44">
        <v>0.34</v>
      </c>
    </row>
    <row r="45" spans="10:18" x14ac:dyDescent="0.15">
      <c r="Q45">
        <v>0.73</v>
      </c>
    </row>
    <row r="46" spans="10:18" x14ac:dyDescent="0.15">
      <c r="Q46">
        <v>6.8</v>
      </c>
    </row>
    <row r="47" spans="10:18" x14ac:dyDescent="0.15">
      <c r="Q47">
        <v>2.34</v>
      </c>
    </row>
    <row r="48" spans="10:18" x14ac:dyDescent="0.15">
      <c r="Q48">
        <v>1.4</v>
      </c>
    </row>
    <row r="51" spans="17:18" x14ac:dyDescent="0.15">
      <c r="Q51">
        <f>SUM(Q41:Q48)</f>
        <v>20.81</v>
      </c>
      <c r="R51">
        <f>SUM(R41:R42)</f>
        <v>168.01</v>
      </c>
    </row>
  </sheetData>
  <mergeCells count="50">
    <mergeCell ref="L31:L32"/>
    <mergeCell ref="L33:L34"/>
    <mergeCell ref="L35:L36"/>
    <mergeCell ref="K35:K36"/>
    <mergeCell ref="L1:L2"/>
    <mergeCell ref="L3:L4"/>
    <mergeCell ref="L5:L6"/>
    <mergeCell ref="L7:L8"/>
    <mergeCell ref="L9:L10"/>
    <mergeCell ref="L11:L12"/>
    <mergeCell ref="L13:L14"/>
    <mergeCell ref="L15:L16"/>
    <mergeCell ref="L17:L18"/>
    <mergeCell ref="L19:L20"/>
    <mergeCell ref="L21:L22"/>
    <mergeCell ref="L23:L24"/>
    <mergeCell ref="L25:L26"/>
    <mergeCell ref="L27:L28"/>
    <mergeCell ref="L29:L30"/>
    <mergeCell ref="J35:J36"/>
    <mergeCell ref="K1:K2"/>
    <mergeCell ref="K3:K4"/>
    <mergeCell ref="K5:K6"/>
    <mergeCell ref="K7:K8"/>
    <mergeCell ref="K9:K10"/>
    <mergeCell ref="K11:K12"/>
    <mergeCell ref="K13:K14"/>
    <mergeCell ref="K15:K16"/>
    <mergeCell ref="K17:K20"/>
    <mergeCell ref="K21:K24"/>
    <mergeCell ref="K25:K26"/>
    <mergeCell ref="K27:K28"/>
    <mergeCell ref="K29:K30"/>
    <mergeCell ref="K31:K32"/>
    <mergeCell ref="K33:K34"/>
    <mergeCell ref="J25:J26"/>
    <mergeCell ref="J27:J28"/>
    <mergeCell ref="J29:J30"/>
    <mergeCell ref="J31:J32"/>
    <mergeCell ref="J33:J34"/>
    <mergeCell ref="J11:J12"/>
    <mergeCell ref="J13:J14"/>
    <mergeCell ref="J15:J16"/>
    <mergeCell ref="J17:J20"/>
    <mergeCell ref="J21:J24"/>
    <mergeCell ref="J1:J2"/>
    <mergeCell ref="J3:J4"/>
    <mergeCell ref="J5:J6"/>
    <mergeCell ref="J7:J8"/>
    <mergeCell ref="J9:J10"/>
  </mergeCells>
  <phoneticPr fontId="27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/>
  <dimension ref="A4:M63"/>
  <sheetViews>
    <sheetView zoomScale="145" zoomScaleNormal="145" workbookViewId="0">
      <selection activeCell="F25" sqref="F25"/>
    </sheetView>
  </sheetViews>
  <sheetFormatPr defaultColWidth="9" defaultRowHeight="13.5" x14ac:dyDescent="0.15"/>
  <cols>
    <col min="5" max="5" width="15.5" customWidth="1"/>
    <col min="6" max="6" width="12.75" customWidth="1"/>
    <col min="8" max="8" width="13.875" customWidth="1"/>
    <col min="9" max="9" width="12.75" customWidth="1"/>
  </cols>
  <sheetData>
    <row r="4" spans="1:13" ht="14.25" x14ac:dyDescent="0.15">
      <c r="A4" s="1" t="s">
        <v>274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4.25" x14ac:dyDescent="0.15">
      <c r="A5" s="1">
        <v>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8.75" x14ac:dyDescent="0.15">
      <c r="A6" s="1" t="s">
        <v>275</v>
      </c>
      <c r="B6" s="1"/>
      <c r="C6" s="405" t="s">
        <v>362</v>
      </c>
      <c r="D6" s="405"/>
      <c r="E6" s="405"/>
      <c r="F6" s="405"/>
      <c r="G6" s="405"/>
      <c r="H6" s="1"/>
      <c r="I6" s="1">
        <f>11.54*13.4</f>
        <v>154.636</v>
      </c>
      <c r="J6" s="1"/>
      <c r="K6" s="1"/>
      <c r="L6" s="1"/>
      <c r="M6" s="1"/>
    </row>
    <row r="7" spans="1:13" ht="15.6" customHeight="1" x14ac:dyDescent="0.15">
      <c r="A7" s="1">
        <v>5</v>
      </c>
      <c r="B7" s="1"/>
      <c r="C7" s="2" t="s">
        <v>192</v>
      </c>
      <c r="D7" s="406" t="s">
        <v>277</v>
      </c>
      <c r="E7" s="406"/>
      <c r="F7" s="3" t="s">
        <v>245</v>
      </c>
      <c r="G7" s="4" t="s">
        <v>235</v>
      </c>
      <c r="H7" s="1"/>
      <c r="I7" s="1"/>
      <c r="J7" s="1"/>
      <c r="K7" s="13">
        <v>700</v>
      </c>
      <c r="L7" s="13">
        <v>15</v>
      </c>
      <c r="M7" s="13">
        <v>46.6666666666667</v>
      </c>
    </row>
    <row r="8" spans="1:13" ht="15.6" customHeight="1" x14ac:dyDescent="0.15">
      <c r="A8" s="1"/>
      <c r="B8" s="1"/>
      <c r="C8" s="5">
        <v>1</v>
      </c>
      <c r="D8" s="432" t="s">
        <v>363</v>
      </c>
      <c r="E8" s="432"/>
      <c r="F8" s="6" t="s">
        <v>252</v>
      </c>
      <c r="G8" s="7">
        <f>19*2*1.8*0.395*2*1.2</f>
        <v>64.843199999999996</v>
      </c>
      <c r="H8" s="1"/>
      <c r="I8" s="1"/>
      <c r="J8" s="1"/>
      <c r="K8" s="13"/>
      <c r="L8" s="13"/>
      <c r="M8" s="13"/>
    </row>
    <row r="9" spans="1:13" ht="15.6" customHeight="1" x14ac:dyDescent="0.15">
      <c r="A9" s="1" t="s">
        <v>280</v>
      </c>
      <c r="B9" s="1"/>
      <c r="C9" s="8">
        <v>2</v>
      </c>
      <c r="D9" s="409" t="s">
        <v>278</v>
      </c>
      <c r="E9" s="409"/>
      <c r="F9" s="6" t="s">
        <v>279</v>
      </c>
      <c r="G9" s="9">
        <f>1.3*0.9*0.1*2</f>
        <v>0.23400000000000001</v>
      </c>
      <c r="H9" s="1"/>
      <c r="I9" s="1"/>
      <c r="J9" s="1"/>
      <c r="K9" s="1"/>
      <c r="L9" s="13">
        <v>46</v>
      </c>
      <c r="M9" s="1"/>
    </row>
    <row r="10" spans="1:13" ht="15.6" customHeight="1" x14ac:dyDescent="0.15">
      <c r="A10" s="1">
        <v>72</v>
      </c>
      <c r="B10" s="1"/>
      <c r="C10" s="10">
        <v>3</v>
      </c>
      <c r="D10" s="410" t="s">
        <v>286</v>
      </c>
      <c r="E10" s="410"/>
      <c r="F10" s="11" t="s">
        <v>283</v>
      </c>
      <c r="G10" s="12">
        <f>(1.3+0.9)*2*0.1*2</f>
        <v>0.88</v>
      </c>
      <c r="H10" s="1"/>
      <c r="I10" s="1"/>
      <c r="J10" s="1"/>
      <c r="K10" s="1"/>
      <c r="L10" s="13">
        <v>690</v>
      </c>
      <c r="M10" s="1"/>
    </row>
    <row r="11" spans="1:13" ht="15.6" customHeight="1" x14ac:dyDescent="0.15">
      <c r="A11" s="1"/>
      <c r="B11" s="1"/>
      <c r="H11" s="1"/>
      <c r="I11" s="1">
        <f>PI()*0.0075^2*0.08*2/3*G11*1000</f>
        <v>0</v>
      </c>
      <c r="J11" s="1"/>
      <c r="K11" s="1"/>
      <c r="L11" s="1"/>
      <c r="M11" s="1"/>
    </row>
    <row r="12" spans="1:13" ht="15.6" customHeight="1" x14ac:dyDescent="0.15">
      <c r="A12" s="1" t="s">
        <v>285</v>
      </c>
      <c r="B12" s="1"/>
      <c r="H12" s="1"/>
      <c r="I12" s="1"/>
      <c r="J12" s="1"/>
      <c r="K12" s="1"/>
      <c r="L12" s="1"/>
      <c r="M12" s="1"/>
    </row>
    <row r="13" spans="1:13" ht="14.25" x14ac:dyDescent="0.15">
      <c r="A13" s="1">
        <v>14.25</v>
      </c>
      <c r="B13" s="1"/>
      <c r="H13" s="1"/>
      <c r="I13" s="1"/>
      <c r="J13" s="1"/>
      <c r="K13" s="1"/>
      <c r="L13" s="1"/>
      <c r="M13" s="1"/>
    </row>
    <row r="16" spans="1:13" x14ac:dyDescent="0.15">
      <c r="E16">
        <v>1.5E-3</v>
      </c>
      <c r="F16">
        <v>0.01</v>
      </c>
    </row>
    <row r="17" spans="2:9" x14ac:dyDescent="0.15">
      <c r="D17">
        <f>1/0.03*2</f>
        <v>66.6666666666667</v>
      </c>
      <c r="E17">
        <f>PI()*E16^2/4*7850</f>
        <v>1.38720950610074E-2</v>
      </c>
      <c r="F17">
        <f>PI()*F16^2/4*7850</f>
        <v>0.61653755826699697</v>
      </c>
    </row>
    <row r="19" spans="2:9" x14ac:dyDescent="0.15">
      <c r="E19">
        <f>D17*E17</f>
        <v>0.924806337400495</v>
      </c>
    </row>
    <row r="22" spans="2:9" x14ac:dyDescent="0.15">
      <c r="B22">
        <v>809.13</v>
      </c>
    </row>
    <row r="23" spans="2:9" x14ac:dyDescent="0.15">
      <c r="B23">
        <v>659.87</v>
      </c>
      <c r="C23">
        <f>B22-B23</f>
        <v>149.26</v>
      </c>
    </row>
    <row r="24" spans="2:9" x14ac:dyDescent="0.15">
      <c r="C24">
        <f>(B22+B23)/2</f>
        <v>734.5</v>
      </c>
    </row>
    <row r="26" spans="2:9" x14ac:dyDescent="0.15">
      <c r="D26">
        <v>5.13</v>
      </c>
      <c r="E26">
        <v>40</v>
      </c>
      <c r="F26">
        <v>40</v>
      </c>
      <c r="G26">
        <v>40</v>
      </c>
      <c r="H26">
        <v>16.010000000000002</v>
      </c>
      <c r="I26">
        <v>8.1199999999999992</v>
      </c>
    </row>
    <row r="27" spans="2:9" x14ac:dyDescent="0.15">
      <c r="B27">
        <v>411</v>
      </c>
      <c r="C27">
        <f>B27-C23/2</f>
        <v>336.37</v>
      </c>
      <c r="D27">
        <f>C27+D26</f>
        <v>341.5</v>
      </c>
      <c r="E27">
        <f t="shared" ref="E27:I27" si="0">D27+E26</f>
        <v>381.5</v>
      </c>
      <c r="F27">
        <f t="shared" si="0"/>
        <v>421.5</v>
      </c>
      <c r="G27">
        <f t="shared" si="0"/>
        <v>461.5</v>
      </c>
      <c r="H27">
        <f t="shared" si="0"/>
        <v>477.51</v>
      </c>
      <c r="I27">
        <f t="shared" si="0"/>
        <v>485.63</v>
      </c>
    </row>
    <row r="28" spans="2:9" x14ac:dyDescent="0.15">
      <c r="E28">
        <v>490.9</v>
      </c>
      <c r="F28">
        <v>113.1</v>
      </c>
      <c r="H28">
        <f>E28*10*45+F28*45+E28*2*(45+28.4)</f>
        <v>298058.62</v>
      </c>
    </row>
    <row r="29" spans="2:9" x14ac:dyDescent="0.15">
      <c r="C29">
        <f>B27+C23/2</f>
        <v>485.63</v>
      </c>
      <c r="H29">
        <f>E28*12+F28</f>
        <v>6003.9</v>
      </c>
    </row>
    <row r="30" spans="2:9" x14ac:dyDescent="0.15">
      <c r="H30">
        <f>H28/H29</f>
        <v>49.644167957494297</v>
      </c>
    </row>
    <row r="33" spans="6:11" x14ac:dyDescent="0.15">
      <c r="H33">
        <f>F28*7</f>
        <v>791.7</v>
      </c>
    </row>
    <row r="34" spans="6:11" x14ac:dyDescent="0.15">
      <c r="I34">
        <v>179.72</v>
      </c>
    </row>
    <row r="35" spans="6:11" x14ac:dyDescent="0.15">
      <c r="F35">
        <v>617.5</v>
      </c>
      <c r="G35">
        <v>75553.77</v>
      </c>
      <c r="H35">
        <v>-33522366.57</v>
      </c>
      <c r="I35">
        <f>F35*I34^2+G35*I34+H35</f>
        <v>961.38639999926102</v>
      </c>
    </row>
    <row r="39" spans="6:11" x14ac:dyDescent="0.15">
      <c r="F39">
        <v>6.8490000000000002</v>
      </c>
      <c r="G39">
        <v>6003.9</v>
      </c>
      <c r="I39">
        <v>110.2</v>
      </c>
      <c r="J39">
        <v>1235</v>
      </c>
      <c r="K39">
        <v>419.2</v>
      </c>
    </row>
    <row r="42" spans="6:11" x14ac:dyDescent="0.15">
      <c r="F42">
        <f>(F39*G39+I39*(J39-K39))/K39</f>
        <v>312.55217342557302</v>
      </c>
      <c r="I42">
        <f>(2*F39*G39*700+(J39-K39)*I39^2)/K39</f>
        <v>160963.98705152699</v>
      </c>
    </row>
    <row r="44" spans="6:11" x14ac:dyDescent="0.15">
      <c r="I44">
        <f>SQRT(F42^2+I42)-F42</f>
        <v>196.02707129896001</v>
      </c>
    </row>
    <row r="49" spans="4:9" x14ac:dyDescent="0.15">
      <c r="F49">
        <v>1235</v>
      </c>
      <c r="G49">
        <v>196.03</v>
      </c>
      <c r="H49">
        <v>419.2</v>
      </c>
      <c r="I49">
        <v>110.2</v>
      </c>
    </row>
    <row r="50" spans="4:9" x14ac:dyDescent="0.15">
      <c r="D50">
        <v>6.8490000000000002</v>
      </c>
      <c r="F50">
        <v>1</v>
      </c>
      <c r="H50">
        <v>2</v>
      </c>
    </row>
    <row r="51" spans="4:9" x14ac:dyDescent="0.15">
      <c r="D51">
        <v>791.7</v>
      </c>
      <c r="F51">
        <f>F49*G49^3/3</f>
        <v>3101082517.33178</v>
      </c>
      <c r="H51">
        <f>(F49-H49)*(G49-I49)^3/3*(-1)</f>
        <v>-171941132.863978</v>
      </c>
    </row>
    <row r="53" spans="4:9" x14ac:dyDescent="0.15">
      <c r="D53">
        <v>6003.9</v>
      </c>
      <c r="F53">
        <v>3</v>
      </c>
      <c r="H53">
        <v>4</v>
      </c>
    </row>
    <row r="54" spans="4:9" x14ac:dyDescent="0.15">
      <c r="F54">
        <f>D50*D51*(G49-35)^2</f>
        <v>140605204.70229599</v>
      </c>
      <c r="H54">
        <f>D50*D53*(700-G49)^2</f>
        <v>10444075097.482599</v>
      </c>
    </row>
    <row r="55" spans="4:9" x14ac:dyDescent="0.15">
      <c r="D55">
        <v>5.4790000000000001</v>
      </c>
    </row>
    <row r="56" spans="4:9" x14ac:dyDescent="0.15">
      <c r="D56">
        <v>549.5</v>
      </c>
      <c r="F56">
        <v>5</v>
      </c>
      <c r="H56">
        <v>6</v>
      </c>
    </row>
    <row r="57" spans="4:9" x14ac:dyDescent="0.15">
      <c r="F57">
        <f>D55*D56*(755-G49)^2</f>
        <v>940688851.22996998</v>
      </c>
      <c r="H57">
        <f>(1040*25)*(762.5-G49)^2</f>
        <v>8343094783.3999996</v>
      </c>
    </row>
    <row r="60" spans="4:9" x14ac:dyDescent="0.15">
      <c r="F60">
        <f>SUM(F51,H51,F54,H54,F57,H57)</f>
        <v>22797605321.2826</v>
      </c>
      <c r="G60">
        <f>F60/10^6</f>
        <v>22797.605321282601</v>
      </c>
    </row>
    <row r="63" spans="4:9" x14ac:dyDescent="0.15">
      <c r="F63">
        <v>344.7</v>
      </c>
      <c r="H63">
        <f>F63*(775-G49)/G60</f>
        <v>8.7540316707602202</v>
      </c>
    </row>
  </sheetData>
  <mergeCells count="5">
    <mergeCell ref="C6:G6"/>
    <mergeCell ref="D7:E7"/>
    <mergeCell ref="D8:E8"/>
    <mergeCell ref="D9:E9"/>
    <mergeCell ref="D10:E10"/>
  </mergeCells>
  <phoneticPr fontId="2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/>
  <dimension ref="A1:IP114"/>
  <sheetViews>
    <sheetView tabSelected="1" view="pageBreakPreview" zoomScaleNormal="85" workbookViewId="0">
      <selection activeCell="N31" sqref="N31"/>
    </sheetView>
  </sheetViews>
  <sheetFormatPr defaultColWidth="15.5" defaultRowHeight="14.25" x14ac:dyDescent="0.15"/>
  <cols>
    <col min="1" max="1" width="5.125" style="207" customWidth="1"/>
    <col min="2" max="2" width="16.625" style="207" customWidth="1"/>
    <col min="3" max="3" width="16.25" style="207" customWidth="1"/>
    <col min="4" max="6" width="15.125" style="207" customWidth="1"/>
    <col min="7" max="7" width="19.625" style="207" customWidth="1"/>
    <col min="8" max="12" width="14" style="207" customWidth="1"/>
    <col min="13" max="13" width="14.625" style="207" customWidth="1"/>
    <col min="14" max="14" width="17.625" style="200" customWidth="1"/>
    <col min="15" max="236" width="9" style="207" customWidth="1"/>
    <col min="237" max="237" width="4.25" style="207" customWidth="1"/>
    <col min="238" max="238" width="17.375" style="207" customWidth="1"/>
    <col min="239" max="239" width="14.625" style="207" customWidth="1"/>
    <col min="240" max="240" width="13.25" style="207" customWidth="1"/>
    <col min="241" max="241" width="13.875" style="207" customWidth="1"/>
    <col min="242" max="242" width="12.875" style="207" customWidth="1"/>
    <col min="243" max="244" width="16.875" style="207" customWidth="1"/>
    <col min="245" max="246" width="17.125" style="207" customWidth="1"/>
    <col min="247" max="247" width="13.625" style="207" customWidth="1"/>
    <col min="248" max="248" width="15.125" style="207" customWidth="1"/>
    <col min="249" max="249" width="16.625" style="207" customWidth="1"/>
    <col min="250" max="250" width="17.625" style="207" customWidth="1"/>
    <col min="251" max="16384" width="15.5" style="207"/>
  </cols>
  <sheetData>
    <row r="1" spans="1:22" ht="40.5" customHeight="1" x14ac:dyDescent="0.15">
      <c r="A1" s="434" t="s">
        <v>365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</row>
    <row r="2" spans="1:22" ht="17.25" customHeight="1" x14ac:dyDescent="0.15">
      <c r="A2" s="435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437" t="s">
        <v>366</v>
      </c>
      <c r="M2" s="437"/>
    </row>
    <row r="3" spans="1:22" ht="30" customHeight="1" x14ac:dyDescent="0.15">
      <c r="A3" s="433" t="s">
        <v>364</v>
      </c>
      <c r="C3" s="209"/>
      <c r="D3" s="209"/>
      <c r="E3" s="209"/>
      <c r="F3" s="209"/>
      <c r="G3" s="209"/>
      <c r="H3" s="209"/>
      <c r="I3" s="209"/>
      <c r="J3" s="209"/>
      <c r="K3" s="209"/>
      <c r="L3" s="438" t="s">
        <v>367</v>
      </c>
      <c r="M3" s="436"/>
      <c r="P3" s="248"/>
      <c r="Q3" s="248"/>
      <c r="R3" s="248"/>
      <c r="S3" s="248"/>
      <c r="T3" s="248"/>
      <c r="U3" s="248"/>
      <c r="V3" s="248"/>
    </row>
    <row r="4" spans="1:22" s="199" customFormat="1" ht="20.100000000000001" customHeight="1" x14ac:dyDescent="0.15">
      <c r="A4" s="300" t="s">
        <v>2</v>
      </c>
      <c r="B4" s="290" t="s">
        <v>3</v>
      </c>
      <c r="C4" s="290" t="s">
        <v>4</v>
      </c>
      <c r="D4" s="290" t="s">
        <v>5</v>
      </c>
      <c r="E4" s="290" t="s">
        <v>6</v>
      </c>
      <c r="F4" s="290" t="s">
        <v>7</v>
      </c>
      <c r="G4" s="290" t="s">
        <v>8</v>
      </c>
      <c r="H4" s="290" t="s">
        <v>9</v>
      </c>
      <c r="I4" s="290"/>
      <c r="J4" s="290"/>
      <c r="K4" s="291" t="s">
        <v>10</v>
      </c>
      <c r="L4" s="291"/>
      <c r="M4" s="292"/>
    </row>
    <row r="5" spans="1:22" s="199" customFormat="1" ht="20.100000000000001" customHeight="1" x14ac:dyDescent="0.15">
      <c r="A5" s="301"/>
      <c r="B5" s="304"/>
      <c r="C5" s="304"/>
      <c r="D5" s="304"/>
      <c r="E5" s="304"/>
      <c r="F5" s="304"/>
      <c r="G5" s="304"/>
      <c r="H5" s="307" t="s">
        <v>11</v>
      </c>
      <c r="I5" s="305" t="s">
        <v>12</v>
      </c>
      <c r="J5" s="305" t="s">
        <v>13</v>
      </c>
      <c r="K5" s="305" t="s">
        <v>14</v>
      </c>
      <c r="L5" s="305" t="s">
        <v>15</v>
      </c>
      <c r="M5" s="312" t="s">
        <v>11</v>
      </c>
    </row>
    <row r="6" spans="1:22" s="199" customFormat="1" ht="20.100000000000001" customHeight="1" x14ac:dyDescent="0.15">
      <c r="A6" s="301"/>
      <c r="B6" s="304"/>
      <c r="C6" s="304"/>
      <c r="D6" s="304"/>
      <c r="E6" s="304"/>
      <c r="F6" s="304"/>
      <c r="G6" s="304"/>
      <c r="H6" s="307"/>
      <c r="I6" s="305"/>
      <c r="J6" s="305"/>
      <c r="K6" s="305"/>
      <c r="L6" s="305"/>
      <c r="M6" s="312"/>
    </row>
    <row r="7" spans="1:22" s="199" customFormat="1" ht="20.100000000000001" customHeight="1" x14ac:dyDescent="0.15">
      <c r="A7" s="301"/>
      <c r="B7" s="304"/>
      <c r="C7" s="304"/>
      <c r="D7" s="304"/>
      <c r="E7" s="304"/>
      <c r="F7" s="304"/>
      <c r="G7" s="304"/>
      <c r="H7" s="307"/>
      <c r="I7" s="305"/>
      <c r="J7" s="305"/>
      <c r="K7" s="305"/>
      <c r="L7" s="305"/>
      <c r="M7" s="312"/>
    </row>
    <row r="8" spans="1:22" s="199" customFormat="1" ht="20.100000000000001" customHeight="1" x14ac:dyDescent="0.15">
      <c r="A8" s="301"/>
      <c r="B8" s="304"/>
      <c r="C8" s="304"/>
      <c r="D8" s="211" t="s">
        <v>16</v>
      </c>
      <c r="E8" s="211" t="s">
        <v>17</v>
      </c>
      <c r="F8" s="211" t="s">
        <v>17</v>
      </c>
      <c r="G8" s="304"/>
      <c r="H8" s="211" t="s">
        <v>18</v>
      </c>
      <c r="I8" s="211" t="s">
        <v>18</v>
      </c>
      <c r="J8" s="211" t="s">
        <v>18</v>
      </c>
      <c r="K8" s="225" t="s">
        <v>19</v>
      </c>
      <c r="L8" s="225" t="s">
        <v>19</v>
      </c>
      <c r="M8" s="249" t="s">
        <v>18</v>
      </c>
    </row>
    <row r="9" spans="1:22" s="199" customFormat="1" ht="20.100000000000001" customHeight="1" x14ac:dyDescent="0.15">
      <c r="A9" s="210">
        <v>1</v>
      </c>
      <c r="B9" s="211">
        <v>1</v>
      </c>
      <c r="C9" s="211">
        <f>B9+1</f>
        <v>2</v>
      </c>
      <c r="D9" s="211">
        <f>C9+1</f>
        <v>3</v>
      </c>
      <c r="E9" s="211">
        <f>D9+1</f>
        <v>4</v>
      </c>
      <c r="F9" s="211">
        <f>E9+1</f>
        <v>5</v>
      </c>
      <c r="G9" s="211">
        <f>F9+1</f>
        <v>6</v>
      </c>
      <c r="H9" s="211">
        <f t="shared" ref="H9:M9" si="0">G9+1</f>
        <v>7</v>
      </c>
      <c r="I9" s="211">
        <f t="shared" si="0"/>
        <v>8</v>
      </c>
      <c r="J9" s="211">
        <f t="shared" si="0"/>
        <v>9</v>
      </c>
      <c r="K9" s="211">
        <f t="shared" si="0"/>
        <v>10</v>
      </c>
      <c r="L9" s="211">
        <f t="shared" si="0"/>
        <v>11</v>
      </c>
      <c r="M9" s="249">
        <f t="shared" si="0"/>
        <v>12</v>
      </c>
    </row>
    <row r="10" spans="1:22" s="199" customFormat="1" ht="20.100000000000001" customHeight="1" x14ac:dyDescent="0.15">
      <c r="A10" s="212">
        <v>1</v>
      </c>
      <c r="B10" s="213" t="s">
        <v>20</v>
      </c>
      <c r="C10" s="214"/>
      <c r="D10" s="215" t="s">
        <v>21</v>
      </c>
      <c r="E10" s="216">
        <v>8</v>
      </c>
      <c r="F10" s="216">
        <v>2</v>
      </c>
      <c r="G10" s="213" t="s">
        <v>22</v>
      </c>
      <c r="H10" s="217">
        <v>5.0999999999999996</v>
      </c>
      <c r="I10" s="217">
        <v>16.2</v>
      </c>
      <c r="J10" s="217">
        <v>10.8</v>
      </c>
      <c r="K10" s="229">
        <v>17.63</v>
      </c>
      <c r="L10" s="229">
        <v>818.92</v>
      </c>
      <c r="M10" s="250">
        <v>5.6</v>
      </c>
    </row>
    <row r="11" spans="1:22" s="199" customFormat="1" ht="20.100000000000001" customHeight="1" x14ac:dyDescent="0.15">
      <c r="A11" s="218"/>
      <c r="B11" s="218"/>
      <c r="C11" s="219"/>
      <c r="D11" s="220"/>
      <c r="E11" s="221"/>
      <c r="F11" s="221"/>
      <c r="G11" s="218"/>
      <c r="H11" s="222"/>
      <c r="I11" s="218"/>
      <c r="J11" s="251"/>
      <c r="K11" s="243"/>
      <c r="L11" s="252"/>
      <c r="M11" s="218"/>
      <c r="N11" s="200"/>
      <c r="P11" s="248"/>
      <c r="Q11" s="248"/>
      <c r="R11" s="248"/>
      <c r="S11" s="248"/>
      <c r="T11" s="248"/>
      <c r="U11" s="248"/>
      <c r="V11" s="248"/>
    </row>
    <row r="12" spans="1:22" s="199" customFormat="1" ht="20.100000000000001" customHeight="1" x14ac:dyDescent="0.15">
      <c r="A12" s="302" t="s">
        <v>2</v>
      </c>
      <c r="B12" s="291" t="s">
        <v>23</v>
      </c>
      <c r="C12" s="291"/>
      <c r="D12" s="291"/>
      <c r="E12" s="293" t="s">
        <v>24</v>
      </c>
      <c r="F12" s="293"/>
      <c r="G12" s="223"/>
      <c r="H12" s="223"/>
      <c r="I12" s="223"/>
      <c r="J12" s="223"/>
      <c r="K12" s="223"/>
      <c r="L12" s="223"/>
      <c r="M12" s="253"/>
      <c r="R12" s="260"/>
    </row>
    <row r="13" spans="1:22" s="199" customFormat="1" ht="20.100000000000001" customHeight="1" x14ac:dyDescent="0.15">
      <c r="A13" s="303"/>
      <c r="B13" s="305" t="s">
        <v>14</v>
      </c>
      <c r="C13" s="305" t="s">
        <v>15</v>
      </c>
      <c r="D13" s="307" t="s">
        <v>11</v>
      </c>
      <c r="E13" s="305" t="s">
        <v>15</v>
      </c>
      <c r="F13" s="307" t="s">
        <v>11</v>
      </c>
      <c r="G13" s="305"/>
      <c r="H13" s="307"/>
      <c r="I13" s="305"/>
      <c r="J13" s="307"/>
      <c r="K13" s="305"/>
      <c r="L13" s="307"/>
      <c r="M13" s="312"/>
    </row>
    <row r="14" spans="1:22" s="199" customFormat="1" ht="20.100000000000001" customHeight="1" x14ac:dyDescent="0.15">
      <c r="A14" s="303"/>
      <c r="B14" s="305"/>
      <c r="C14" s="305"/>
      <c r="D14" s="307"/>
      <c r="E14" s="305"/>
      <c r="F14" s="307"/>
      <c r="G14" s="305"/>
      <c r="H14" s="307"/>
      <c r="I14" s="305"/>
      <c r="J14" s="307"/>
      <c r="K14" s="305"/>
      <c r="L14" s="307"/>
      <c r="M14" s="312"/>
    </row>
    <row r="15" spans="1:22" s="199" customFormat="1" ht="20.100000000000001" customHeight="1" x14ac:dyDescent="0.15">
      <c r="A15" s="303"/>
      <c r="B15" s="305"/>
      <c r="C15" s="305"/>
      <c r="D15" s="307"/>
      <c r="E15" s="305"/>
      <c r="F15" s="307"/>
      <c r="G15" s="305"/>
      <c r="H15" s="307"/>
      <c r="I15" s="305"/>
      <c r="J15" s="307"/>
      <c r="K15" s="305"/>
      <c r="L15" s="307"/>
      <c r="M15" s="312"/>
    </row>
    <row r="16" spans="1:22" s="199" customFormat="1" ht="20.100000000000001" customHeight="1" x14ac:dyDescent="0.15">
      <c r="A16" s="303"/>
      <c r="B16" s="225" t="s">
        <v>19</v>
      </c>
      <c r="C16" s="225" t="s">
        <v>19</v>
      </c>
      <c r="D16" s="211" t="s">
        <v>18</v>
      </c>
      <c r="E16" s="225" t="s">
        <v>19</v>
      </c>
      <c r="F16" s="211" t="s">
        <v>18</v>
      </c>
      <c r="G16" s="226"/>
      <c r="H16" s="227"/>
      <c r="I16" s="226"/>
      <c r="J16" s="227"/>
      <c r="K16" s="226"/>
      <c r="L16" s="227"/>
      <c r="M16" s="254"/>
      <c r="U16" s="260"/>
    </row>
    <row r="17" spans="1:22" s="199" customFormat="1" ht="20.100000000000001" customHeight="1" x14ac:dyDescent="0.15">
      <c r="A17" s="224">
        <v>1</v>
      </c>
      <c r="B17" s="211">
        <f>M9+1</f>
        <v>13</v>
      </c>
      <c r="C17" s="211">
        <f t="shared" ref="C17:F17" si="1">B17+1</f>
        <v>14</v>
      </c>
      <c r="D17" s="211">
        <f t="shared" si="1"/>
        <v>15</v>
      </c>
      <c r="E17" s="211">
        <f t="shared" si="1"/>
        <v>16</v>
      </c>
      <c r="F17" s="211">
        <f t="shared" si="1"/>
        <v>17</v>
      </c>
      <c r="G17" s="227"/>
      <c r="H17" s="227"/>
      <c r="I17" s="227"/>
      <c r="J17" s="227"/>
      <c r="K17" s="227"/>
      <c r="L17" s="227"/>
      <c r="M17" s="254"/>
    </row>
    <row r="18" spans="1:22" s="199" customFormat="1" ht="20.100000000000001" customHeight="1" x14ac:dyDescent="0.15">
      <c r="A18" s="228">
        <v>1</v>
      </c>
      <c r="B18" s="229">
        <f>23.4+27.4</f>
        <v>50.8</v>
      </c>
      <c r="C18" s="229">
        <f>92</f>
        <v>92</v>
      </c>
      <c r="D18" s="213">
        <v>1.18</v>
      </c>
      <c r="E18" s="229">
        <f>1391.04+124.72</f>
        <v>1515.76</v>
      </c>
      <c r="F18" s="213">
        <f>2.88</f>
        <v>2.88</v>
      </c>
      <c r="G18" s="230"/>
      <c r="H18" s="231"/>
      <c r="I18" s="230"/>
      <c r="J18" s="231"/>
      <c r="K18" s="230"/>
      <c r="L18" s="231"/>
      <c r="M18" s="255"/>
    </row>
    <row r="19" spans="1:22" s="199" customFormat="1" ht="20.100000000000001" customHeight="1" x14ac:dyDescent="0.15">
      <c r="A19" s="232"/>
      <c r="B19" s="233"/>
      <c r="C19" s="233"/>
      <c r="D19" s="234"/>
      <c r="E19" s="235"/>
      <c r="F19" s="235"/>
      <c r="G19" s="233"/>
      <c r="H19" s="236"/>
      <c r="I19" s="233"/>
      <c r="J19" s="256"/>
      <c r="K19" s="236"/>
      <c r="L19" s="257"/>
      <c r="M19" s="233"/>
      <c r="N19" s="200"/>
      <c r="O19" s="200"/>
      <c r="P19" s="200"/>
      <c r="Q19" s="200"/>
      <c r="R19" s="200"/>
      <c r="S19" s="200"/>
      <c r="T19" s="200"/>
      <c r="U19" s="248"/>
      <c r="V19" s="248"/>
    </row>
    <row r="20" spans="1:22" s="199" customFormat="1" ht="20.100000000000001" customHeight="1" x14ac:dyDescent="0.15">
      <c r="A20" s="302"/>
      <c r="B20" s="291"/>
      <c r="C20" s="291"/>
      <c r="D20" s="291"/>
      <c r="E20" s="293"/>
      <c r="F20" s="293"/>
      <c r="G20" s="223"/>
      <c r="H20" s="223"/>
      <c r="I20" s="223"/>
      <c r="J20" s="223"/>
      <c r="K20" s="223"/>
      <c r="L20" s="223"/>
      <c r="M20" s="253"/>
      <c r="U20" s="260"/>
    </row>
    <row r="21" spans="1:22" s="199" customFormat="1" ht="20.100000000000001" customHeight="1" x14ac:dyDescent="0.15">
      <c r="A21" s="303"/>
      <c r="B21" s="305"/>
      <c r="C21" s="305"/>
      <c r="D21" s="307"/>
      <c r="E21" s="305"/>
      <c r="F21" s="307"/>
      <c r="G21" s="305"/>
      <c r="H21" s="307"/>
      <c r="I21" s="305"/>
      <c r="J21" s="307"/>
      <c r="K21" s="305"/>
      <c r="L21" s="307"/>
      <c r="M21" s="312"/>
    </row>
    <row r="22" spans="1:22" s="199" customFormat="1" ht="20.100000000000001" customHeight="1" x14ac:dyDescent="0.15">
      <c r="A22" s="303"/>
      <c r="B22" s="305"/>
      <c r="C22" s="305"/>
      <c r="D22" s="307"/>
      <c r="E22" s="305"/>
      <c r="F22" s="307"/>
      <c r="G22" s="305"/>
      <c r="H22" s="307"/>
      <c r="I22" s="305"/>
      <c r="J22" s="307"/>
      <c r="K22" s="305"/>
      <c r="L22" s="307"/>
      <c r="M22" s="312"/>
    </row>
    <row r="23" spans="1:22" s="199" customFormat="1" ht="20.100000000000001" customHeight="1" x14ac:dyDescent="0.15">
      <c r="A23" s="303"/>
      <c r="B23" s="305"/>
      <c r="C23" s="305"/>
      <c r="D23" s="307"/>
      <c r="E23" s="305"/>
      <c r="F23" s="307"/>
      <c r="G23" s="305"/>
      <c r="H23" s="307"/>
      <c r="I23" s="305"/>
      <c r="J23" s="307"/>
      <c r="K23" s="305"/>
      <c r="L23" s="307"/>
      <c r="M23" s="312"/>
    </row>
    <row r="24" spans="1:22" s="199" customFormat="1" ht="20.100000000000001" customHeight="1" x14ac:dyDescent="0.15">
      <c r="A24" s="303"/>
      <c r="B24" s="225"/>
      <c r="C24" s="225"/>
      <c r="D24" s="211"/>
      <c r="E24" s="225"/>
      <c r="F24" s="211"/>
      <c r="G24" s="226"/>
      <c r="H24" s="227"/>
      <c r="I24" s="226"/>
      <c r="J24" s="227"/>
      <c r="K24" s="226"/>
      <c r="L24" s="227"/>
      <c r="M24" s="254"/>
    </row>
    <row r="25" spans="1:22" s="199" customFormat="1" ht="20.100000000000001" customHeight="1" x14ac:dyDescent="0.15">
      <c r="A25" s="224"/>
      <c r="B25" s="211"/>
      <c r="C25" s="211"/>
      <c r="D25" s="211"/>
      <c r="E25" s="211"/>
      <c r="F25" s="211"/>
      <c r="G25" s="227"/>
      <c r="H25" s="227"/>
      <c r="I25" s="227"/>
      <c r="J25" s="227"/>
      <c r="K25" s="227"/>
      <c r="L25" s="227"/>
      <c r="M25" s="254"/>
    </row>
    <row r="26" spans="1:22" s="199" customFormat="1" ht="20.100000000000001" customHeight="1" x14ac:dyDescent="0.15">
      <c r="A26" s="228"/>
      <c r="B26" s="229"/>
      <c r="C26" s="229"/>
      <c r="D26" s="213"/>
      <c r="E26" s="229"/>
      <c r="F26" s="213"/>
      <c r="G26" s="230"/>
      <c r="H26" s="231"/>
      <c r="I26" s="230"/>
      <c r="J26" s="231"/>
      <c r="K26" s="230"/>
      <c r="L26" s="231"/>
      <c r="M26" s="255"/>
    </row>
    <row r="27" spans="1:22" s="200" customFormat="1" ht="20.100000000000001" customHeight="1" x14ac:dyDescent="0.15">
      <c r="A27" s="237"/>
      <c r="B27" s="237"/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</row>
    <row r="28" spans="1:22" s="199" customFormat="1" ht="20.100000000000001" customHeight="1" x14ac:dyDescent="0.15">
      <c r="A28" s="302"/>
      <c r="B28" s="291"/>
      <c r="C28" s="291"/>
      <c r="D28" s="291"/>
      <c r="E28" s="293"/>
      <c r="F28" s="293"/>
      <c r="G28" s="223"/>
      <c r="H28" s="223"/>
      <c r="I28" s="223"/>
      <c r="J28" s="223"/>
      <c r="K28" s="223"/>
      <c r="L28" s="223"/>
      <c r="M28" s="253"/>
    </row>
    <row r="29" spans="1:22" s="199" customFormat="1" ht="20.100000000000001" customHeight="1" x14ac:dyDescent="0.15">
      <c r="A29" s="303"/>
      <c r="B29" s="305"/>
      <c r="C29" s="305"/>
      <c r="D29" s="307"/>
      <c r="E29" s="305"/>
      <c r="F29" s="307"/>
      <c r="G29" s="305"/>
      <c r="H29" s="307"/>
      <c r="I29" s="305"/>
      <c r="J29" s="307"/>
      <c r="K29" s="305"/>
      <c r="L29" s="307"/>
      <c r="M29" s="312"/>
    </row>
    <row r="30" spans="1:22" s="199" customFormat="1" ht="20.100000000000001" customHeight="1" x14ac:dyDescent="0.15">
      <c r="A30" s="303"/>
      <c r="B30" s="305"/>
      <c r="C30" s="305"/>
      <c r="D30" s="307"/>
      <c r="E30" s="305"/>
      <c r="F30" s="307"/>
      <c r="G30" s="305"/>
      <c r="H30" s="307"/>
      <c r="I30" s="305"/>
      <c r="J30" s="307"/>
      <c r="K30" s="305"/>
      <c r="L30" s="307"/>
      <c r="M30" s="312"/>
    </row>
    <row r="31" spans="1:22" s="199" customFormat="1" ht="20.100000000000001" customHeight="1" x14ac:dyDescent="0.15">
      <c r="A31" s="303"/>
      <c r="B31" s="305"/>
      <c r="C31" s="305"/>
      <c r="D31" s="307"/>
      <c r="E31" s="305"/>
      <c r="F31" s="307"/>
      <c r="G31" s="305"/>
      <c r="H31" s="307"/>
      <c r="I31" s="305"/>
      <c r="J31" s="307"/>
      <c r="K31" s="305"/>
      <c r="L31" s="307"/>
      <c r="M31" s="312"/>
      <c r="Q31" s="260"/>
    </row>
    <row r="32" spans="1:22" s="199" customFormat="1" ht="20.100000000000001" customHeight="1" x14ac:dyDescent="0.15">
      <c r="A32" s="303"/>
      <c r="B32" s="225"/>
      <c r="C32" s="225"/>
      <c r="D32" s="211"/>
      <c r="E32" s="225"/>
      <c r="F32" s="211"/>
      <c r="G32" s="226"/>
      <c r="H32" s="227"/>
      <c r="I32" s="226"/>
      <c r="J32" s="227"/>
      <c r="K32" s="226"/>
      <c r="L32" s="227"/>
      <c r="M32" s="254"/>
    </row>
    <row r="33" spans="1:250" s="199" customFormat="1" ht="20.100000000000001" customHeight="1" x14ac:dyDescent="0.15">
      <c r="A33" s="224"/>
      <c r="B33" s="211"/>
      <c r="C33" s="211"/>
      <c r="D33" s="211"/>
      <c r="E33" s="211"/>
      <c r="F33" s="211"/>
      <c r="G33" s="227"/>
      <c r="H33" s="227"/>
      <c r="I33" s="227"/>
      <c r="J33" s="227"/>
      <c r="K33" s="227"/>
      <c r="L33" s="227"/>
      <c r="M33" s="254"/>
    </row>
    <row r="34" spans="1:250" s="199" customFormat="1" ht="20.100000000000001" customHeight="1" x14ac:dyDescent="0.15">
      <c r="A34" s="228"/>
      <c r="B34" s="229"/>
      <c r="C34" s="229"/>
      <c r="D34" s="213"/>
      <c r="E34" s="229"/>
      <c r="F34" s="213"/>
      <c r="G34" s="230"/>
      <c r="H34" s="231"/>
      <c r="I34" s="230"/>
      <c r="J34" s="231"/>
      <c r="K34" s="230"/>
      <c r="L34" s="231"/>
      <c r="M34" s="255"/>
    </row>
    <row r="35" spans="1:250" s="200" customFormat="1" ht="20.100000000000001" customHeight="1" x14ac:dyDescent="0.15">
      <c r="A35" s="201"/>
      <c r="B35" s="201"/>
      <c r="C35" s="439" t="s">
        <v>368</v>
      </c>
      <c r="D35" s="239"/>
      <c r="E35" s="239"/>
      <c r="F35" s="238"/>
      <c r="G35" s="239"/>
      <c r="H35" s="239"/>
      <c r="I35" s="238"/>
      <c r="J35" s="440" t="s">
        <v>369</v>
      </c>
      <c r="K35" s="201"/>
      <c r="L35" s="201"/>
      <c r="M35" s="201"/>
    </row>
    <row r="36" spans="1:250" s="200" customFormat="1" ht="20.100000000000001" customHeight="1" x14ac:dyDescent="0.15"/>
    <row r="37" spans="1:250" s="201" customFormat="1" ht="53.25" customHeight="1" x14ac:dyDescent="0.15">
      <c r="A37" s="288"/>
      <c r="B37" s="288"/>
      <c r="C37" s="288"/>
      <c r="D37" s="288"/>
      <c r="E37" s="288"/>
      <c r="F37" s="288"/>
      <c r="G37" s="288"/>
      <c r="H37" s="288"/>
      <c r="I37" s="288"/>
      <c r="J37" s="288"/>
      <c r="K37" s="288"/>
      <c r="L37" s="288"/>
      <c r="M37" s="288"/>
      <c r="U37" s="206"/>
      <c r="V37" s="206"/>
      <c r="W37" s="206"/>
      <c r="X37" s="206"/>
      <c r="Y37" s="206"/>
      <c r="Z37" s="206"/>
      <c r="AA37" s="206"/>
      <c r="AB37" s="206"/>
      <c r="AC37" s="206"/>
      <c r="AD37" s="206"/>
      <c r="AE37" s="206"/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6"/>
      <c r="BN37" s="206"/>
      <c r="BO37" s="206"/>
      <c r="BP37" s="206"/>
      <c r="BQ37" s="206"/>
      <c r="BR37" s="206"/>
      <c r="BS37" s="206"/>
      <c r="BT37" s="206"/>
      <c r="BU37" s="206"/>
      <c r="BV37" s="206"/>
      <c r="BW37" s="206"/>
      <c r="BX37" s="206"/>
      <c r="BY37" s="206"/>
      <c r="BZ37" s="206"/>
      <c r="CA37" s="206"/>
      <c r="CB37" s="206"/>
      <c r="CC37" s="206"/>
      <c r="CD37" s="206"/>
      <c r="CE37" s="206"/>
      <c r="CF37" s="206"/>
      <c r="CG37" s="206"/>
      <c r="CH37" s="206"/>
      <c r="CI37" s="206"/>
      <c r="CJ37" s="206"/>
      <c r="CK37" s="206"/>
      <c r="CL37" s="206"/>
      <c r="CM37" s="206"/>
      <c r="CN37" s="206"/>
      <c r="CO37" s="206"/>
      <c r="CP37" s="206"/>
      <c r="CQ37" s="206"/>
      <c r="CR37" s="206"/>
      <c r="CS37" s="206"/>
      <c r="CT37" s="206"/>
      <c r="CU37" s="206"/>
      <c r="CV37" s="206"/>
      <c r="CW37" s="206"/>
      <c r="CX37" s="206"/>
      <c r="CY37" s="206"/>
      <c r="CZ37" s="206"/>
      <c r="DA37" s="206"/>
      <c r="DB37" s="206"/>
      <c r="DC37" s="206"/>
      <c r="DD37" s="206"/>
      <c r="DE37" s="206"/>
      <c r="DF37" s="206"/>
      <c r="DG37" s="206"/>
      <c r="DH37" s="206"/>
      <c r="DI37" s="206"/>
      <c r="DJ37" s="206"/>
      <c r="DK37" s="206"/>
      <c r="DL37" s="206"/>
      <c r="DM37" s="206"/>
      <c r="DN37" s="206"/>
      <c r="DO37" s="206"/>
      <c r="DP37" s="206"/>
      <c r="DQ37" s="206"/>
      <c r="DR37" s="206"/>
      <c r="DS37" s="206"/>
      <c r="DT37" s="206"/>
      <c r="DU37" s="206"/>
      <c r="DV37" s="206"/>
      <c r="DW37" s="206"/>
      <c r="DX37" s="206"/>
      <c r="DY37" s="206"/>
      <c r="DZ37" s="206"/>
      <c r="EA37" s="206"/>
      <c r="EB37" s="206"/>
      <c r="EC37" s="206"/>
      <c r="ED37" s="206"/>
      <c r="EE37" s="206"/>
      <c r="EF37" s="206"/>
      <c r="EG37" s="206"/>
      <c r="EH37" s="206"/>
      <c r="EI37" s="206"/>
      <c r="EJ37" s="206"/>
      <c r="EK37" s="206"/>
      <c r="EL37" s="206"/>
      <c r="EM37" s="206"/>
      <c r="EN37" s="206"/>
      <c r="EO37" s="206"/>
      <c r="EP37" s="206"/>
      <c r="EQ37" s="206"/>
      <c r="ER37" s="206"/>
      <c r="ES37" s="206"/>
      <c r="ET37" s="206"/>
      <c r="EU37" s="206"/>
      <c r="EV37" s="206"/>
      <c r="EW37" s="206"/>
      <c r="EX37" s="206"/>
      <c r="EY37" s="206"/>
      <c r="EZ37" s="206"/>
      <c r="FA37" s="206"/>
      <c r="FB37" s="206"/>
      <c r="FC37" s="206"/>
      <c r="FD37" s="206"/>
      <c r="FE37" s="206"/>
      <c r="FF37" s="206"/>
      <c r="FG37" s="206"/>
      <c r="FH37" s="206"/>
      <c r="FI37" s="206"/>
      <c r="FJ37" s="206"/>
      <c r="FK37" s="206"/>
      <c r="FL37" s="206"/>
      <c r="FM37" s="206"/>
      <c r="FN37" s="206"/>
      <c r="FO37" s="206"/>
      <c r="FP37" s="206"/>
      <c r="FQ37" s="206"/>
      <c r="FR37" s="206"/>
      <c r="FS37" s="206"/>
      <c r="FT37" s="206"/>
      <c r="FU37" s="206"/>
      <c r="FV37" s="206"/>
      <c r="FW37" s="206"/>
      <c r="FX37" s="206"/>
      <c r="FY37" s="206"/>
      <c r="FZ37" s="206"/>
      <c r="GA37" s="206"/>
      <c r="GB37" s="206"/>
      <c r="GC37" s="206"/>
      <c r="GD37" s="206"/>
      <c r="GE37" s="206"/>
      <c r="GF37" s="206"/>
      <c r="GG37" s="206"/>
      <c r="GH37" s="206"/>
      <c r="GI37" s="206"/>
      <c r="GJ37" s="206"/>
      <c r="GK37" s="206"/>
      <c r="GL37" s="206"/>
      <c r="GM37" s="206"/>
      <c r="GN37" s="206"/>
      <c r="GO37" s="206"/>
      <c r="GP37" s="206"/>
      <c r="GQ37" s="206"/>
      <c r="GR37" s="206"/>
      <c r="GS37" s="206"/>
      <c r="GT37" s="206"/>
      <c r="GU37" s="206"/>
      <c r="GV37" s="206"/>
      <c r="GW37" s="206"/>
      <c r="GX37" s="206"/>
      <c r="GY37" s="206"/>
      <c r="GZ37" s="206"/>
      <c r="HA37" s="206"/>
      <c r="HB37" s="206"/>
      <c r="HC37" s="206"/>
      <c r="HD37" s="206"/>
      <c r="HE37" s="206"/>
      <c r="HF37" s="206"/>
      <c r="HG37" s="206"/>
      <c r="HH37" s="206"/>
      <c r="HI37" s="206"/>
      <c r="HJ37" s="206"/>
      <c r="HK37" s="206"/>
      <c r="HL37" s="206"/>
      <c r="HM37" s="206"/>
      <c r="HN37" s="206"/>
      <c r="HO37" s="206"/>
      <c r="HP37" s="206"/>
      <c r="HQ37" s="206"/>
      <c r="HR37" s="206"/>
      <c r="HS37" s="206"/>
      <c r="HT37" s="206"/>
      <c r="HU37" s="206"/>
      <c r="HV37" s="206"/>
      <c r="HW37" s="206"/>
      <c r="HX37" s="206"/>
      <c r="HY37" s="206"/>
      <c r="HZ37" s="206"/>
      <c r="IA37" s="206"/>
      <c r="IB37" s="206"/>
      <c r="IC37" s="206"/>
      <c r="ID37" s="206"/>
      <c r="IE37" s="206"/>
      <c r="IF37" s="206"/>
      <c r="IG37" s="206"/>
      <c r="IH37" s="206"/>
      <c r="II37" s="206"/>
      <c r="IJ37" s="206"/>
      <c r="IK37" s="206"/>
      <c r="IL37" s="206"/>
      <c r="IM37" s="206"/>
      <c r="IN37" s="206"/>
      <c r="IO37" s="206"/>
      <c r="IP37" s="206"/>
    </row>
    <row r="38" spans="1:250" s="201" customFormat="1" ht="30" customHeight="1" x14ac:dyDescent="0.15">
      <c r="A38" s="240"/>
      <c r="B38" s="206"/>
      <c r="C38" s="209"/>
      <c r="D38" s="209"/>
      <c r="E38" s="209"/>
      <c r="F38" s="209"/>
      <c r="G38" s="209"/>
      <c r="H38" s="209"/>
      <c r="I38" s="209"/>
      <c r="J38" s="209"/>
      <c r="K38" s="209"/>
      <c r="L38" s="289"/>
      <c r="M38" s="289"/>
      <c r="U38" s="258"/>
      <c r="V38" s="258"/>
      <c r="W38" s="206"/>
      <c r="X38" s="206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  <c r="BI38" s="206"/>
      <c r="BJ38" s="206"/>
      <c r="BK38" s="206"/>
      <c r="BL38" s="206"/>
      <c r="BM38" s="206"/>
      <c r="BN38" s="206"/>
      <c r="BO38" s="206"/>
      <c r="BP38" s="206"/>
      <c r="BQ38" s="206"/>
      <c r="BR38" s="206"/>
      <c r="BS38" s="206"/>
      <c r="BT38" s="206"/>
      <c r="BU38" s="206"/>
      <c r="BV38" s="206"/>
      <c r="BW38" s="206"/>
      <c r="BX38" s="206"/>
      <c r="BY38" s="206"/>
      <c r="BZ38" s="206"/>
      <c r="CA38" s="206"/>
      <c r="CB38" s="206"/>
      <c r="CC38" s="206"/>
      <c r="CD38" s="206"/>
      <c r="CE38" s="206"/>
      <c r="CF38" s="206"/>
      <c r="CG38" s="206"/>
      <c r="CH38" s="206"/>
      <c r="CI38" s="206"/>
      <c r="CJ38" s="206"/>
      <c r="CK38" s="206"/>
      <c r="CL38" s="206"/>
      <c r="CM38" s="206"/>
      <c r="CN38" s="206"/>
      <c r="CO38" s="206"/>
      <c r="CP38" s="206"/>
      <c r="CQ38" s="206"/>
      <c r="CR38" s="206"/>
      <c r="CS38" s="206"/>
      <c r="CT38" s="206"/>
      <c r="CU38" s="206"/>
      <c r="CV38" s="206"/>
      <c r="CW38" s="206"/>
      <c r="CX38" s="206"/>
      <c r="CY38" s="206"/>
      <c r="CZ38" s="206"/>
      <c r="DA38" s="206"/>
      <c r="DB38" s="206"/>
      <c r="DC38" s="206"/>
      <c r="DD38" s="206"/>
      <c r="DE38" s="206"/>
      <c r="DF38" s="206"/>
      <c r="DG38" s="206"/>
      <c r="DH38" s="206"/>
      <c r="DI38" s="206"/>
      <c r="DJ38" s="206"/>
      <c r="DK38" s="206"/>
      <c r="DL38" s="206"/>
      <c r="DM38" s="206"/>
      <c r="DN38" s="206"/>
      <c r="DO38" s="206"/>
      <c r="DP38" s="206"/>
      <c r="DQ38" s="206"/>
      <c r="DR38" s="206"/>
      <c r="DS38" s="206"/>
      <c r="DT38" s="206"/>
      <c r="DU38" s="206"/>
      <c r="DV38" s="206"/>
      <c r="DW38" s="206"/>
      <c r="DX38" s="206"/>
      <c r="DY38" s="206"/>
      <c r="DZ38" s="206"/>
      <c r="EA38" s="206"/>
      <c r="EB38" s="206"/>
      <c r="EC38" s="206"/>
      <c r="ED38" s="206"/>
      <c r="EE38" s="206"/>
      <c r="EF38" s="206"/>
      <c r="EG38" s="206"/>
      <c r="EH38" s="206"/>
      <c r="EI38" s="206"/>
      <c r="EJ38" s="206"/>
      <c r="EK38" s="206"/>
      <c r="EL38" s="206"/>
      <c r="EM38" s="206"/>
      <c r="EN38" s="206"/>
      <c r="EO38" s="206"/>
      <c r="EP38" s="206"/>
      <c r="EQ38" s="206"/>
      <c r="ER38" s="206"/>
      <c r="ES38" s="206"/>
      <c r="ET38" s="206"/>
      <c r="EU38" s="206"/>
      <c r="EV38" s="206"/>
      <c r="EW38" s="206"/>
      <c r="EX38" s="206"/>
      <c r="EY38" s="206"/>
      <c r="EZ38" s="206"/>
      <c r="FA38" s="206"/>
      <c r="FB38" s="206"/>
      <c r="FC38" s="206"/>
      <c r="FD38" s="206"/>
      <c r="FE38" s="206"/>
      <c r="FF38" s="206"/>
      <c r="FG38" s="206"/>
      <c r="FH38" s="206"/>
      <c r="FI38" s="206"/>
      <c r="FJ38" s="206"/>
      <c r="FK38" s="206"/>
      <c r="FL38" s="206"/>
      <c r="FM38" s="206"/>
      <c r="FN38" s="206"/>
      <c r="FO38" s="206"/>
      <c r="FP38" s="206"/>
      <c r="FQ38" s="206"/>
      <c r="FR38" s="206"/>
      <c r="FS38" s="206"/>
      <c r="FT38" s="206"/>
      <c r="FU38" s="206"/>
      <c r="FV38" s="206"/>
      <c r="FW38" s="206"/>
      <c r="FX38" s="206"/>
      <c r="FY38" s="206"/>
      <c r="FZ38" s="206"/>
      <c r="GA38" s="206"/>
      <c r="GB38" s="206"/>
      <c r="GC38" s="206"/>
      <c r="GD38" s="206"/>
      <c r="GE38" s="206"/>
      <c r="GF38" s="206"/>
      <c r="GG38" s="206"/>
      <c r="GH38" s="206"/>
      <c r="GI38" s="206"/>
      <c r="GJ38" s="206"/>
      <c r="GK38" s="206"/>
      <c r="GL38" s="206"/>
      <c r="GM38" s="206"/>
      <c r="GN38" s="206"/>
      <c r="GO38" s="206"/>
      <c r="GP38" s="206"/>
      <c r="GQ38" s="206"/>
      <c r="GR38" s="206"/>
      <c r="GS38" s="206"/>
      <c r="GT38" s="206"/>
      <c r="GU38" s="206"/>
      <c r="GV38" s="206"/>
      <c r="GW38" s="206"/>
      <c r="GX38" s="206"/>
      <c r="GY38" s="206"/>
      <c r="GZ38" s="206"/>
      <c r="HA38" s="206"/>
      <c r="HB38" s="206"/>
      <c r="HC38" s="206"/>
      <c r="HD38" s="206"/>
      <c r="HE38" s="206"/>
      <c r="HF38" s="206"/>
      <c r="HG38" s="206"/>
      <c r="HH38" s="206"/>
      <c r="HI38" s="206"/>
      <c r="HJ38" s="206"/>
      <c r="HK38" s="206"/>
      <c r="HL38" s="206"/>
      <c r="HM38" s="206"/>
      <c r="HN38" s="206"/>
      <c r="HO38" s="206"/>
      <c r="HP38" s="206"/>
      <c r="HQ38" s="206"/>
      <c r="HR38" s="206"/>
      <c r="HS38" s="206"/>
      <c r="HT38" s="206"/>
      <c r="HU38" s="206"/>
      <c r="HV38" s="206"/>
      <c r="HW38" s="206"/>
      <c r="HX38" s="206"/>
      <c r="HY38" s="206"/>
      <c r="HZ38" s="206"/>
      <c r="IA38" s="206"/>
      <c r="IB38" s="206"/>
      <c r="IC38" s="206"/>
      <c r="ID38" s="206"/>
      <c r="IE38" s="206"/>
      <c r="IF38" s="206"/>
      <c r="IG38" s="206"/>
      <c r="IH38" s="206"/>
      <c r="II38" s="206"/>
      <c r="IJ38" s="206"/>
      <c r="IK38" s="206"/>
      <c r="IL38" s="206"/>
      <c r="IM38" s="206"/>
      <c r="IN38" s="206"/>
      <c r="IO38" s="206"/>
      <c r="IP38" s="206"/>
    </row>
    <row r="39" spans="1:250" s="202" customFormat="1" ht="20.100000000000001" customHeight="1" x14ac:dyDescent="0.15">
      <c r="A39" s="294"/>
      <c r="B39" s="294"/>
      <c r="C39" s="294"/>
      <c r="D39" s="294"/>
      <c r="E39" s="294"/>
      <c r="F39" s="294"/>
      <c r="G39" s="294"/>
      <c r="H39" s="294"/>
      <c r="I39" s="294"/>
      <c r="J39" s="294"/>
      <c r="K39" s="294"/>
      <c r="L39" s="294"/>
      <c r="M39" s="294"/>
    </row>
    <row r="40" spans="1:250" s="202" customFormat="1" ht="20.100000000000001" customHeight="1" x14ac:dyDescent="0.15">
      <c r="A40" s="294"/>
      <c r="B40" s="295"/>
      <c r="C40" s="295"/>
      <c r="D40" s="295"/>
      <c r="E40" s="296"/>
      <c r="F40" s="296"/>
      <c r="G40" s="296"/>
      <c r="H40" s="296"/>
      <c r="I40" s="296"/>
      <c r="J40" s="296"/>
      <c r="K40" s="296"/>
      <c r="L40" s="296"/>
      <c r="M40" s="241"/>
    </row>
    <row r="41" spans="1:250" s="202" customFormat="1" ht="20.100000000000001" customHeight="1" x14ac:dyDescent="0.15">
      <c r="A41" s="294"/>
      <c r="B41" s="295"/>
      <c r="C41" s="298"/>
      <c r="D41" s="298"/>
      <c r="E41" s="295"/>
      <c r="F41" s="295"/>
      <c r="G41" s="295"/>
      <c r="H41" s="298"/>
      <c r="I41" s="295"/>
      <c r="J41" s="295"/>
      <c r="K41" s="295"/>
      <c r="L41" s="295"/>
      <c r="M41" s="295"/>
    </row>
    <row r="42" spans="1:250" s="202" customFormat="1" ht="20.100000000000001" customHeight="1" x14ac:dyDescent="0.15">
      <c r="A42" s="294"/>
      <c r="B42" s="295"/>
      <c r="C42" s="298"/>
      <c r="D42" s="298"/>
      <c r="E42" s="295"/>
      <c r="F42" s="295"/>
      <c r="G42" s="295"/>
      <c r="H42" s="298"/>
      <c r="I42" s="295"/>
      <c r="J42" s="295"/>
      <c r="K42" s="295"/>
      <c r="L42" s="295"/>
      <c r="M42" s="295"/>
    </row>
    <row r="43" spans="1:250" s="202" customFormat="1" ht="20.100000000000001" customHeight="1" x14ac:dyDescent="0.15">
      <c r="A43" s="294"/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</row>
    <row r="44" spans="1:250" s="202" customFormat="1" ht="20.100000000000001" customHeight="1" x14ac:dyDescent="0.15">
      <c r="A44" s="221"/>
      <c r="B44" s="221"/>
      <c r="C44" s="218"/>
      <c r="D44" s="218"/>
      <c r="E44" s="218"/>
      <c r="F44" s="218"/>
      <c r="G44" s="218"/>
      <c r="H44" s="218"/>
      <c r="I44" s="218"/>
      <c r="J44" s="218"/>
      <c r="K44" s="221"/>
      <c r="L44" s="221"/>
      <c r="M44" s="221"/>
    </row>
    <row r="45" spans="1:250" s="202" customFormat="1" ht="20.100000000000001" customHeight="1" x14ac:dyDescent="0.15">
      <c r="A45" s="221"/>
      <c r="B45" s="242"/>
      <c r="C45" s="242"/>
      <c r="D45" s="232"/>
      <c r="E45" s="243"/>
      <c r="F45" s="242"/>
      <c r="G45" s="242"/>
      <c r="H45" s="242"/>
      <c r="I45" s="242"/>
      <c r="J45" s="242"/>
      <c r="K45" s="242"/>
      <c r="L45" s="242"/>
      <c r="M45" s="242"/>
    </row>
    <row r="46" spans="1:250" s="202" customFormat="1" ht="20.100000000000001" customHeight="1" x14ac:dyDescent="0.15">
      <c r="A46" s="218"/>
      <c r="B46" s="218"/>
      <c r="C46" s="219"/>
      <c r="D46" s="220"/>
      <c r="E46" s="221"/>
      <c r="F46" s="221"/>
      <c r="G46" s="218"/>
      <c r="H46" s="222"/>
      <c r="I46" s="218"/>
      <c r="J46" s="222"/>
      <c r="K46" s="243"/>
      <c r="L46" s="218"/>
      <c r="M46" s="218"/>
      <c r="N46" s="201"/>
      <c r="P46" s="258"/>
      <c r="Q46" s="258"/>
      <c r="R46" s="258"/>
      <c r="S46" s="258"/>
      <c r="T46" s="258"/>
      <c r="U46" s="258"/>
      <c r="V46" s="258"/>
    </row>
    <row r="47" spans="1:250" s="166" customFormat="1" ht="20.100000000000001" customHeight="1" x14ac:dyDescent="0.15">
      <c r="A47" s="294"/>
      <c r="B47" s="294"/>
      <c r="C47" s="294"/>
      <c r="D47" s="294"/>
      <c r="E47" s="294"/>
      <c r="F47" s="294"/>
      <c r="G47" s="295"/>
      <c r="H47" s="295"/>
      <c r="I47" s="295"/>
      <c r="J47" s="295"/>
      <c r="K47" s="295"/>
      <c r="L47" s="295"/>
      <c r="M47" s="295"/>
    </row>
    <row r="48" spans="1:250" s="166" customFormat="1" ht="20.100000000000001" customHeight="1" x14ac:dyDescent="0.15">
      <c r="A48" s="294"/>
      <c r="B48" s="295"/>
      <c r="C48" s="295"/>
      <c r="D48" s="295"/>
      <c r="E48" s="295"/>
      <c r="F48" s="295"/>
      <c r="G48" s="241"/>
      <c r="H48" s="219"/>
      <c r="I48" s="241"/>
      <c r="J48" s="241"/>
      <c r="K48" s="241"/>
      <c r="L48" s="241"/>
      <c r="M48" s="241"/>
    </row>
    <row r="49" spans="1:22" s="166" customFormat="1" ht="20.100000000000001" customHeight="1" x14ac:dyDescent="0.15">
      <c r="A49" s="294"/>
      <c r="B49" s="295"/>
      <c r="C49" s="295"/>
      <c r="D49" s="295"/>
      <c r="E49" s="295"/>
      <c r="F49" s="295"/>
      <c r="G49" s="310"/>
      <c r="H49" s="296"/>
      <c r="I49" s="296"/>
      <c r="J49" s="295"/>
      <c r="K49" s="295"/>
      <c r="L49" s="295"/>
      <c r="M49" s="296"/>
    </row>
    <row r="50" spans="1:22" s="166" customFormat="1" ht="20.100000000000001" customHeight="1" x14ac:dyDescent="0.15">
      <c r="A50" s="294"/>
      <c r="B50" s="295"/>
      <c r="C50" s="295"/>
      <c r="D50" s="295"/>
      <c r="E50" s="295"/>
      <c r="F50" s="295"/>
      <c r="G50" s="295"/>
      <c r="H50" s="296"/>
      <c r="I50" s="296"/>
      <c r="J50" s="295"/>
      <c r="K50" s="295"/>
      <c r="L50" s="295"/>
      <c r="M50" s="296"/>
    </row>
    <row r="51" spans="1:22" s="166" customFormat="1" ht="20.100000000000001" customHeight="1" x14ac:dyDescent="0.15">
      <c r="A51" s="294"/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</row>
    <row r="52" spans="1:22" s="166" customFormat="1" ht="20.100000000000001" customHeight="1" x14ac:dyDescent="0.15">
      <c r="A52" s="221"/>
      <c r="B52" s="221"/>
      <c r="C52" s="218"/>
      <c r="D52" s="218"/>
      <c r="E52" s="218"/>
      <c r="F52" s="218"/>
      <c r="G52" s="218"/>
      <c r="H52" s="218"/>
      <c r="I52" s="218"/>
      <c r="J52" s="218"/>
      <c r="K52" s="221"/>
      <c r="L52" s="221"/>
      <c r="M52" s="221"/>
    </row>
    <row r="53" spans="1:22" s="166" customFormat="1" ht="20.100000000000001" customHeight="1" x14ac:dyDescent="0.15">
      <c r="A53" s="221"/>
      <c r="B53" s="242"/>
      <c r="C53" s="242"/>
      <c r="D53" s="242"/>
      <c r="E53" s="242"/>
      <c r="F53" s="242"/>
      <c r="G53" s="244"/>
      <c r="H53" s="244"/>
      <c r="I53" s="244"/>
      <c r="J53" s="244"/>
      <c r="K53" s="244"/>
      <c r="L53" s="244"/>
      <c r="M53" s="222"/>
    </row>
    <row r="54" spans="1:22" s="166" customFormat="1" ht="20.100000000000001" customHeight="1" x14ac:dyDescent="0.15">
      <c r="B54" s="232"/>
      <c r="C54" s="233"/>
      <c r="D54" s="245"/>
      <c r="E54" s="246"/>
      <c r="F54" s="246"/>
      <c r="G54" s="232"/>
      <c r="H54" s="236"/>
      <c r="I54" s="232"/>
      <c r="J54" s="256"/>
      <c r="K54" s="259"/>
      <c r="L54" s="232"/>
      <c r="M54" s="232"/>
      <c r="N54" s="203"/>
      <c r="O54" s="203"/>
      <c r="P54" s="203"/>
      <c r="Q54" s="203"/>
      <c r="R54" s="203"/>
      <c r="S54" s="203"/>
      <c r="T54" s="203"/>
      <c r="U54" s="261"/>
      <c r="V54" s="261"/>
    </row>
    <row r="55" spans="1:22" s="166" customFormat="1" ht="20.100000000000001" customHeight="1" x14ac:dyDescent="0.15">
      <c r="A55" s="294"/>
      <c r="B55" s="295"/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</row>
    <row r="56" spans="1:22" s="166" customFormat="1" ht="20.100000000000001" customHeight="1" x14ac:dyDescent="0.15">
      <c r="A56" s="294"/>
      <c r="B56" s="241"/>
      <c r="C56" s="241"/>
      <c r="D56" s="241"/>
      <c r="E56" s="295"/>
      <c r="F56" s="295"/>
      <c r="G56" s="295"/>
      <c r="H56" s="295"/>
      <c r="I56" s="241"/>
      <c r="J56" s="241"/>
      <c r="K56" s="296"/>
      <c r="L56" s="296"/>
      <c r="M56" s="295"/>
    </row>
    <row r="57" spans="1:22" s="166" customFormat="1" ht="20.100000000000001" customHeight="1" x14ac:dyDescent="0.15">
      <c r="A57" s="294"/>
      <c r="B57" s="296"/>
      <c r="C57" s="295"/>
      <c r="D57" s="295"/>
      <c r="E57" s="295"/>
      <c r="F57" s="295"/>
      <c r="G57" s="295"/>
      <c r="H57" s="296"/>
      <c r="I57" s="296"/>
      <c r="J57" s="310"/>
      <c r="K57" s="296"/>
      <c r="L57" s="296"/>
      <c r="M57" s="295"/>
    </row>
    <row r="58" spans="1:22" s="166" customFormat="1" ht="20.100000000000001" customHeight="1" x14ac:dyDescent="0.15">
      <c r="A58" s="294"/>
      <c r="B58" s="296"/>
      <c r="C58" s="295"/>
      <c r="D58" s="295"/>
      <c r="E58" s="295"/>
      <c r="F58" s="295"/>
      <c r="G58" s="295"/>
      <c r="H58" s="296"/>
      <c r="I58" s="296"/>
      <c r="J58" s="310"/>
      <c r="K58" s="296"/>
      <c r="L58" s="296"/>
      <c r="M58" s="295"/>
    </row>
    <row r="59" spans="1:22" s="166" customFormat="1" ht="20.100000000000001" customHeight="1" x14ac:dyDescent="0.15">
      <c r="A59" s="294"/>
      <c r="B59" s="218"/>
      <c r="C59" s="218"/>
      <c r="D59" s="218"/>
      <c r="E59" s="218"/>
      <c r="F59" s="218"/>
      <c r="G59" s="218"/>
      <c r="H59" s="218"/>
      <c r="I59" s="218"/>
      <c r="J59" s="218"/>
      <c r="K59" s="219"/>
      <c r="L59" s="219"/>
      <c r="M59" s="219"/>
    </row>
    <row r="60" spans="1:22" s="166" customFormat="1" ht="20.100000000000001" customHeight="1" x14ac:dyDescent="0.15">
      <c r="A60" s="221"/>
      <c r="B60" s="221"/>
      <c r="C60" s="218"/>
      <c r="D60" s="218"/>
      <c r="E60" s="218"/>
      <c r="F60" s="218"/>
      <c r="G60" s="218"/>
      <c r="H60" s="218"/>
      <c r="I60" s="218"/>
      <c r="J60" s="218"/>
      <c r="K60" s="221"/>
      <c r="L60" s="221"/>
      <c r="M60" s="221"/>
    </row>
    <row r="61" spans="1:22" s="166" customFormat="1" ht="20.100000000000001" customHeight="1" x14ac:dyDescent="0.15">
      <c r="A61" s="221"/>
      <c r="B61" s="222"/>
      <c r="C61" s="242"/>
      <c r="D61" s="242"/>
      <c r="E61" s="242"/>
      <c r="F61" s="242"/>
      <c r="G61" s="244"/>
      <c r="H61" s="244"/>
      <c r="I61" s="244"/>
      <c r="J61" s="244"/>
      <c r="K61" s="244"/>
      <c r="L61" s="244"/>
      <c r="M61" s="244"/>
    </row>
    <row r="62" spans="1:22" s="203" customFormat="1" ht="20.100000000000001" customHeight="1" x14ac:dyDescent="0.15">
      <c r="B62" s="247"/>
      <c r="C62" s="247"/>
      <c r="D62" s="247"/>
      <c r="E62" s="247"/>
      <c r="F62" s="247"/>
      <c r="G62" s="247"/>
      <c r="H62" s="247"/>
      <c r="I62" s="247"/>
      <c r="J62" s="247"/>
      <c r="K62" s="247"/>
      <c r="L62" s="247"/>
      <c r="M62" s="247"/>
    </row>
    <row r="63" spans="1:22" s="166" customFormat="1" ht="20.100000000000001" customHeight="1" x14ac:dyDescent="0.15">
      <c r="A63" s="294"/>
      <c r="B63" s="296"/>
      <c r="C63" s="296"/>
      <c r="D63" s="296"/>
      <c r="E63" s="296"/>
      <c r="F63" s="296"/>
      <c r="G63" s="296"/>
      <c r="H63" s="296"/>
      <c r="I63" s="296"/>
      <c r="J63" s="296"/>
      <c r="K63" s="296"/>
      <c r="L63" s="296"/>
      <c r="M63" s="296"/>
    </row>
    <row r="64" spans="1:22" s="166" customFormat="1" ht="20.100000000000001" customHeight="1" x14ac:dyDescent="0.15">
      <c r="A64" s="294"/>
      <c r="B64" s="296"/>
      <c r="C64" s="295"/>
      <c r="D64" s="295"/>
      <c r="E64" s="295"/>
      <c r="F64" s="295"/>
      <c r="G64" s="295"/>
      <c r="H64" s="295"/>
      <c r="I64" s="295"/>
      <c r="J64" s="295"/>
      <c r="K64" s="295"/>
      <c r="L64" s="310"/>
      <c r="M64" s="241"/>
      <c r="N64" s="204"/>
    </row>
    <row r="65" spans="1:250" s="166" customFormat="1" ht="20.100000000000001" customHeight="1" x14ac:dyDescent="0.15">
      <c r="A65" s="294"/>
      <c r="B65" s="296"/>
      <c r="C65" s="295"/>
      <c r="D65" s="295"/>
      <c r="E65" s="295"/>
      <c r="F65" s="295"/>
      <c r="G65" s="295"/>
      <c r="H65" s="295"/>
      <c r="I65" s="295"/>
      <c r="J65" s="295"/>
      <c r="K65" s="295"/>
      <c r="L65" s="295"/>
      <c r="M65" s="295"/>
      <c r="N65" s="204"/>
    </row>
    <row r="66" spans="1:250" s="166" customFormat="1" ht="20.100000000000001" customHeight="1" x14ac:dyDescent="0.15">
      <c r="A66" s="294"/>
      <c r="B66" s="296"/>
      <c r="C66" s="295"/>
      <c r="D66" s="295"/>
      <c r="E66" s="295"/>
      <c r="F66" s="295"/>
      <c r="G66" s="295"/>
      <c r="H66" s="295"/>
      <c r="I66" s="295"/>
      <c r="J66" s="295"/>
      <c r="K66" s="295"/>
      <c r="L66" s="295"/>
      <c r="M66" s="295"/>
      <c r="N66" s="201"/>
    </row>
    <row r="67" spans="1:250" s="166" customFormat="1" ht="20.100000000000001" customHeight="1" x14ac:dyDescent="0.15">
      <c r="A67" s="294"/>
      <c r="B67" s="219"/>
      <c r="C67" s="219"/>
      <c r="D67" s="219"/>
      <c r="E67" s="219"/>
      <c r="F67" s="219"/>
      <c r="G67" s="219"/>
      <c r="H67" s="219"/>
      <c r="I67" s="219"/>
      <c r="J67" s="219"/>
      <c r="K67" s="219"/>
      <c r="L67" s="219"/>
      <c r="M67" s="219"/>
      <c r="N67" s="201"/>
    </row>
    <row r="68" spans="1:250" s="166" customFormat="1" ht="20.100000000000001" customHeight="1" x14ac:dyDescent="0.15">
      <c r="A68" s="221"/>
      <c r="B68" s="241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01"/>
    </row>
    <row r="69" spans="1:250" s="166" customFormat="1" ht="20.100000000000001" customHeight="1" x14ac:dyDescent="0.15">
      <c r="A69" s="221"/>
      <c r="B69" s="244"/>
      <c r="C69" s="241"/>
      <c r="D69" s="241"/>
      <c r="E69" s="241"/>
      <c r="F69" s="241"/>
      <c r="G69" s="241"/>
      <c r="H69" s="244"/>
      <c r="I69" s="244"/>
      <c r="J69" s="244"/>
      <c r="K69" s="241"/>
      <c r="L69" s="241"/>
      <c r="M69" s="222"/>
      <c r="N69" s="201"/>
    </row>
    <row r="70" spans="1:250" s="204" customFormat="1" ht="20.100000000000001" customHeight="1" x14ac:dyDescent="0.15">
      <c r="C70" s="238"/>
      <c r="D70" s="239"/>
      <c r="E70" s="239"/>
      <c r="F70" s="238"/>
      <c r="G70" s="239"/>
      <c r="H70" s="239"/>
      <c r="I70" s="238"/>
      <c r="N70" s="201"/>
    </row>
    <row r="71" spans="1:250" s="204" customFormat="1" ht="20.100000000000001" customHeight="1" x14ac:dyDescent="0.15">
      <c r="N71" s="201"/>
    </row>
    <row r="72" spans="1:250" s="201" customFormat="1" ht="53.25" customHeight="1" x14ac:dyDescent="0.15">
      <c r="A72" s="288"/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U72" s="206"/>
      <c r="V72" s="206"/>
      <c r="W72" s="206"/>
      <c r="X72" s="206"/>
      <c r="Y72" s="206"/>
      <c r="Z72" s="206"/>
      <c r="AA72" s="206"/>
      <c r="AB72" s="206"/>
      <c r="AC72" s="206"/>
      <c r="AD72" s="206"/>
      <c r="AE72" s="206"/>
      <c r="AF72" s="206"/>
      <c r="AG72" s="206"/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  <c r="BI72" s="206"/>
      <c r="BJ72" s="206"/>
      <c r="BK72" s="206"/>
      <c r="BL72" s="206"/>
      <c r="BM72" s="206"/>
      <c r="BN72" s="206"/>
      <c r="BO72" s="206"/>
      <c r="BP72" s="206"/>
      <c r="BQ72" s="206"/>
      <c r="BR72" s="206"/>
      <c r="BS72" s="206"/>
      <c r="BT72" s="206"/>
      <c r="BU72" s="206"/>
      <c r="BV72" s="206"/>
      <c r="BW72" s="206"/>
      <c r="BX72" s="206"/>
      <c r="BY72" s="206"/>
      <c r="BZ72" s="206"/>
      <c r="CA72" s="206"/>
      <c r="CB72" s="206"/>
      <c r="CC72" s="206"/>
      <c r="CD72" s="206"/>
      <c r="CE72" s="206"/>
      <c r="CF72" s="206"/>
      <c r="CG72" s="206"/>
      <c r="CH72" s="206"/>
      <c r="CI72" s="206"/>
      <c r="CJ72" s="206"/>
      <c r="CK72" s="206"/>
      <c r="CL72" s="206"/>
      <c r="CM72" s="206"/>
      <c r="CN72" s="206"/>
      <c r="CO72" s="206"/>
      <c r="CP72" s="206"/>
      <c r="CQ72" s="206"/>
      <c r="CR72" s="206"/>
      <c r="CS72" s="206"/>
      <c r="CT72" s="206"/>
      <c r="CU72" s="206"/>
      <c r="CV72" s="206"/>
      <c r="CW72" s="206"/>
      <c r="CX72" s="206"/>
      <c r="CY72" s="206"/>
      <c r="CZ72" s="206"/>
      <c r="DA72" s="206"/>
      <c r="DB72" s="206"/>
      <c r="DC72" s="206"/>
      <c r="DD72" s="206"/>
      <c r="DE72" s="206"/>
      <c r="DF72" s="206"/>
      <c r="DG72" s="206"/>
      <c r="DH72" s="206"/>
      <c r="DI72" s="206"/>
      <c r="DJ72" s="206"/>
      <c r="DK72" s="206"/>
      <c r="DL72" s="206"/>
      <c r="DM72" s="206"/>
      <c r="DN72" s="206"/>
      <c r="DO72" s="206"/>
      <c r="DP72" s="206"/>
      <c r="DQ72" s="206"/>
      <c r="DR72" s="206"/>
      <c r="DS72" s="206"/>
      <c r="DT72" s="206"/>
      <c r="DU72" s="206"/>
      <c r="DV72" s="206"/>
      <c r="DW72" s="206"/>
      <c r="DX72" s="206"/>
      <c r="DY72" s="206"/>
      <c r="DZ72" s="206"/>
      <c r="EA72" s="206"/>
      <c r="EB72" s="206"/>
      <c r="EC72" s="206"/>
      <c r="ED72" s="206"/>
      <c r="EE72" s="206"/>
      <c r="EF72" s="206"/>
      <c r="EG72" s="206"/>
      <c r="EH72" s="206"/>
      <c r="EI72" s="206"/>
      <c r="EJ72" s="206"/>
      <c r="EK72" s="206"/>
      <c r="EL72" s="206"/>
      <c r="EM72" s="206"/>
      <c r="EN72" s="206"/>
      <c r="EO72" s="206"/>
      <c r="EP72" s="206"/>
      <c r="EQ72" s="206"/>
      <c r="ER72" s="206"/>
      <c r="ES72" s="206"/>
      <c r="ET72" s="206"/>
      <c r="EU72" s="206"/>
      <c r="EV72" s="206"/>
      <c r="EW72" s="206"/>
      <c r="EX72" s="206"/>
      <c r="EY72" s="206"/>
      <c r="EZ72" s="206"/>
      <c r="FA72" s="206"/>
      <c r="FB72" s="206"/>
      <c r="FC72" s="206"/>
      <c r="FD72" s="206"/>
      <c r="FE72" s="206"/>
      <c r="FF72" s="206"/>
      <c r="FG72" s="206"/>
      <c r="FH72" s="206"/>
      <c r="FI72" s="206"/>
      <c r="FJ72" s="206"/>
      <c r="FK72" s="206"/>
      <c r="FL72" s="206"/>
      <c r="FM72" s="206"/>
      <c r="FN72" s="206"/>
      <c r="FO72" s="206"/>
      <c r="FP72" s="206"/>
      <c r="FQ72" s="206"/>
      <c r="FR72" s="206"/>
      <c r="FS72" s="206"/>
      <c r="FT72" s="206"/>
      <c r="FU72" s="206"/>
      <c r="FV72" s="206"/>
      <c r="FW72" s="206"/>
      <c r="FX72" s="206"/>
      <c r="FY72" s="206"/>
      <c r="FZ72" s="206"/>
      <c r="GA72" s="206"/>
      <c r="GB72" s="206"/>
      <c r="GC72" s="206"/>
      <c r="GD72" s="206"/>
      <c r="GE72" s="206"/>
      <c r="GF72" s="206"/>
      <c r="GG72" s="206"/>
      <c r="GH72" s="206"/>
      <c r="GI72" s="206"/>
      <c r="GJ72" s="206"/>
      <c r="GK72" s="206"/>
      <c r="GL72" s="206"/>
      <c r="GM72" s="206"/>
      <c r="GN72" s="206"/>
      <c r="GO72" s="206"/>
      <c r="GP72" s="206"/>
      <c r="GQ72" s="206"/>
      <c r="GR72" s="206"/>
      <c r="GS72" s="206"/>
      <c r="GT72" s="206"/>
      <c r="GU72" s="206"/>
      <c r="GV72" s="206"/>
      <c r="GW72" s="206"/>
      <c r="GX72" s="206"/>
      <c r="GY72" s="206"/>
      <c r="GZ72" s="206"/>
      <c r="HA72" s="206"/>
      <c r="HB72" s="206"/>
      <c r="HC72" s="206"/>
      <c r="HD72" s="206"/>
      <c r="HE72" s="206"/>
      <c r="HF72" s="206"/>
      <c r="HG72" s="206"/>
      <c r="HH72" s="206"/>
      <c r="HI72" s="206"/>
      <c r="HJ72" s="206"/>
      <c r="HK72" s="206"/>
      <c r="HL72" s="206"/>
      <c r="HM72" s="206"/>
      <c r="HN72" s="206"/>
      <c r="HO72" s="206"/>
      <c r="HP72" s="206"/>
      <c r="HQ72" s="206"/>
      <c r="HR72" s="206"/>
      <c r="HS72" s="206"/>
      <c r="HT72" s="206"/>
      <c r="HU72" s="206"/>
      <c r="HV72" s="206"/>
      <c r="HW72" s="206"/>
      <c r="HX72" s="206"/>
      <c r="HY72" s="206"/>
      <c r="HZ72" s="206"/>
      <c r="IA72" s="206"/>
      <c r="IB72" s="206"/>
      <c r="IC72" s="206"/>
      <c r="ID72" s="206"/>
      <c r="IE72" s="206"/>
      <c r="IF72" s="206"/>
      <c r="IG72" s="206"/>
      <c r="IH72" s="206"/>
      <c r="II72" s="206"/>
      <c r="IJ72" s="206"/>
      <c r="IK72" s="206"/>
      <c r="IL72" s="206"/>
      <c r="IM72" s="206"/>
      <c r="IN72" s="206"/>
      <c r="IO72" s="206"/>
      <c r="IP72" s="206"/>
    </row>
    <row r="73" spans="1:250" s="201" customFormat="1" ht="30" customHeight="1" x14ac:dyDescent="0.15">
      <c r="A73" s="240"/>
      <c r="B73" s="206"/>
      <c r="C73" s="209"/>
      <c r="D73" s="209"/>
      <c r="E73" s="209"/>
      <c r="F73" s="209"/>
      <c r="G73" s="209"/>
      <c r="H73" s="209"/>
      <c r="I73" s="209"/>
      <c r="J73" s="209"/>
      <c r="K73" s="209"/>
      <c r="L73" s="289"/>
      <c r="M73" s="289"/>
      <c r="U73" s="258"/>
      <c r="V73" s="258"/>
      <c r="W73" s="206"/>
      <c r="X73" s="206"/>
      <c r="Y73" s="206"/>
      <c r="Z73" s="206"/>
      <c r="AA73" s="206"/>
      <c r="AB73" s="206"/>
      <c r="AC73" s="206"/>
      <c r="AD73" s="206"/>
      <c r="AE73" s="206"/>
      <c r="AF73" s="206"/>
      <c r="AG73" s="206"/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  <c r="BI73" s="206"/>
      <c r="BJ73" s="206"/>
      <c r="BK73" s="206"/>
      <c r="BL73" s="206"/>
      <c r="BM73" s="206"/>
      <c r="BN73" s="206"/>
      <c r="BO73" s="206"/>
      <c r="BP73" s="206"/>
      <c r="BQ73" s="206"/>
      <c r="BR73" s="206"/>
      <c r="BS73" s="206"/>
      <c r="BT73" s="206"/>
      <c r="BU73" s="206"/>
      <c r="BV73" s="206"/>
      <c r="BW73" s="206"/>
      <c r="BX73" s="206"/>
      <c r="BY73" s="206"/>
      <c r="BZ73" s="206"/>
      <c r="CA73" s="206"/>
      <c r="CB73" s="206"/>
      <c r="CC73" s="206"/>
      <c r="CD73" s="206"/>
      <c r="CE73" s="206"/>
      <c r="CF73" s="206"/>
      <c r="CG73" s="206"/>
      <c r="CH73" s="206"/>
      <c r="CI73" s="206"/>
      <c r="CJ73" s="206"/>
      <c r="CK73" s="206"/>
      <c r="CL73" s="206"/>
      <c r="CM73" s="206"/>
      <c r="CN73" s="206"/>
      <c r="CO73" s="206"/>
      <c r="CP73" s="206"/>
      <c r="CQ73" s="206"/>
      <c r="CR73" s="206"/>
      <c r="CS73" s="206"/>
      <c r="CT73" s="206"/>
      <c r="CU73" s="206"/>
      <c r="CV73" s="206"/>
      <c r="CW73" s="206"/>
      <c r="CX73" s="206"/>
      <c r="CY73" s="206"/>
      <c r="CZ73" s="206"/>
      <c r="DA73" s="206"/>
      <c r="DB73" s="206"/>
      <c r="DC73" s="206"/>
      <c r="DD73" s="206"/>
      <c r="DE73" s="206"/>
      <c r="DF73" s="206"/>
      <c r="DG73" s="206"/>
      <c r="DH73" s="206"/>
      <c r="DI73" s="206"/>
      <c r="DJ73" s="206"/>
      <c r="DK73" s="206"/>
      <c r="DL73" s="206"/>
      <c r="DM73" s="206"/>
      <c r="DN73" s="206"/>
      <c r="DO73" s="206"/>
      <c r="DP73" s="206"/>
      <c r="DQ73" s="206"/>
      <c r="DR73" s="206"/>
      <c r="DS73" s="206"/>
      <c r="DT73" s="206"/>
      <c r="DU73" s="206"/>
      <c r="DV73" s="206"/>
      <c r="DW73" s="206"/>
      <c r="DX73" s="206"/>
      <c r="DY73" s="206"/>
      <c r="DZ73" s="206"/>
      <c r="EA73" s="206"/>
      <c r="EB73" s="206"/>
      <c r="EC73" s="206"/>
      <c r="ED73" s="206"/>
      <c r="EE73" s="206"/>
      <c r="EF73" s="206"/>
      <c r="EG73" s="206"/>
      <c r="EH73" s="206"/>
      <c r="EI73" s="206"/>
      <c r="EJ73" s="206"/>
      <c r="EK73" s="206"/>
      <c r="EL73" s="206"/>
      <c r="EM73" s="206"/>
      <c r="EN73" s="206"/>
      <c r="EO73" s="206"/>
      <c r="EP73" s="206"/>
      <c r="EQ73" s="206"/>
      <c r="ER73" s="206"/>
      <c r="ES73" s="206"/>
      <c r="ET73" s="206"/>
      <c r="EU73" s="206"/>
      <c r="EV73" s="206"/>
      <c r="EW73" s="206"/>
      <c r="EX73" s="206"/>
      <c r="EY73" s="206"/>
      <c r="EZ73" s="206"/>
      <c r="FA73" s="206"/>
      <c r="FB73" s="206"/>
      <c r="FC73" s="206"/>
      <c r="FD73" s="206"/>
      <c r="FE73" s="206"/>
      <c r="FF73" s="206"/>
      <c r="FG73" s="206"/>
      <c r="FH73" s="206"/>
      <c r="FI73" s="206"/>
      <c r="FJ73" s="206"/>
      <c r="FK73" s="206"/>
      <c r="FL73" s="206"/>
      <c r="FM73" s="206"/>
      <c r="FN73" s="206"/>
      <c r="FO73" s="206"/>
      <c r="FP73" s="206"/>
      <c r="FQ73" s="206"/>
      <c r="FR73" s="206"/>
      <c r="FS73" s="206"/>
      <c r="FT73" s="206"/>
      <c r="FU73" s="206"/>
      <c r="FV73" s="206"/>
      <c r="FW73" s="206"/>
      <c r="FX73" s="206"/>
      <c r="FY73" s="206"/>
      <c r="FZ73" s="206"/>
      <c r="GA73" s="206"/>
      <c r="GB73" s="206"/>
      <c r="GC73" s="206"/>
      <c r="GD73" s="206"/>
      <c r="GE73" s="206"/>
      <c r="GF73" s="206"/>
      <c r="GG73" s="206"/>
      <c r="GH73" s="206"/>
      <c r="GI73" s="206"/>
      <c r="GJ73" s="206"/>
      <c r="GK73" s="206"/>
      <c r="GL73" s="206"/>
      <c r="GM73" s="206"/>
      <c r="GN73" s="206"/>
      <c r="GO73" s="206"/>
      <c r="GP73" s="206"/>
      <c r="GQ73" s="206"/>
      <c r="GR73" s="206"/>
      <c r="GS73" s="206"/>
      <c r="GT73" s="206"/>
      <c r="GU73" s="206"/>
      <c r="GV73" s="206"/>
      <c r="GW73" s="206"/>
      <c r="GX73" s="206"/>
      <c r="GY73" s="206"/>
      <c r="GZ73" s="206"/>
      <c r="HA73" s="206"/>
      <c r="HB73" s="206"/>
      <c r="HC73" s="206"/>
      <c r="HD73" s="206"/>
      <c r="HE73" s="206"/>
      <c r="HF73" s="206"/>
      <c r="HG73" s="206"/>
      <c r="HH73" s="206"/>
      <c r="HI73" s="206"/>
      <c r="HJ73" s="206"/>
      <c r="HK73" s="206"/>
      <c r="HL73" s="206"/>
      <c r="HM73" s="206"/>
      <c r="HN73" s="206"/>
      <c r="HO73" s="206"/>
      <c r="HP73" s="206"/>
      <c r="HQ73" s="206"/>
      <c r="HR73" s="206"/>
      <c r="HS73" s="206"/>
      <c r="HT73" s="206"/>
      <c r="HU73" s="206"/>
      <c r="HV73" s="206"/>
      <c r="HW73" s="206"/>
      <c r="HX73" s="206"/>
      <c r="HY73" s="206"/>
      <c r="HZ73" s="206"/>
      <c r="IA73" s="206"/>
      <c r="IB73" s="206"/>
      <c r="IC73" s="206"/>
      <c r="ID73" s="206"/>
      <c r="IE73" s="206"/>
      <c r="IF73" s="206"/>
      <c r="IG73" s="206"/>
      <c r="IH73" s="206"/>
      <c r="II73" s="206"/>
      <c r="IJ73" s="206"/>
      <c r="IK73" s="206"/>
      <c r="IL73" s="206"/>
      <c r="IM73" s="206"/>
      <c r="IN73" s="206"/>
      <c r="IO73" s="206"/>
      <c r="IP73" s="206"/>
    </row>
    <row r="74" spans="1:250" s="202" customFormat="1" ht="20.100000000000001" customHeight="1" x14ac:dyDescent="0.15">
      <c r="A74" s="294"/>
      <c r="B74" s="296"/>
      <c r="C74" s="296"/>
      <c r="D74" s="296"/>
      <c r="E74" s="296"/>
      <c r="F74" s="296"/>
      <c r="G74" s="296"/>
      <c r="H74" s="296"/>
      <c r="I74" s="296"/>
      <c r="J74" s="296"/>
      <c r="K74" s="296"/>
      <c r="L74" s="296"/>
      <c r="M74" s="262"/>
    </row>
    <row r="75" spans="1:250" s="202" customFormat="1" ht="20.100000000000001" customHeight="1" x14ac:dyDescent="0.15">
      <c r="A75" s="294"/>
      <c r="B75" s="295"/>
      <c r="C75" s="295"/>
      <c r="D75" s="295"/>
      <c r="E75" s="296"/>
      <c r="F75" s="308"/>
      <c r="G75" s="308"/>
      <c r="H75" s="308"/>
      <c r="I75" s="308"/>
      <c r="J75" s="296"/>
      <c r="K75" s="295"/>
      <c r="L75" s="299"/>
      <c r="M75" s="295"/>
    </row>
    <row r="76" spans="1:250" s="202" customFormat="1" ht="20.100000000000001" customHeight="1" x14ac:dyDescent="0.15">
      <c r="A76" s="294"/>
      <c r="B76" s="295"/>
      <c r="C76" s="295"/>
      <c r="D76" s="295"/>
      <c r="E76" s="296"/>
      <c r="F76" s="308"/>
      <c r="G76" s="308"/>
      <c r="H76" s="308"/>
      <c r="I76" s="308"/>
      <c r="J76" s="296"/>
      <c r="K76" s="295"/>
      <c r="L76" s="299"/>
      <c r="M76" s="295"/>
    </row>
    <row r="77" spans="1:250" s="202" customFormat="1" ht="20.100000000000001" customHeight="1" x14ac:dyDescent="0.15">
      <c r="A77" s="294"/>
      <c r="B77" s="295"/>
      <c r="C77" s="295"/>
      <c r="D77" s="295"/>
      <c r="E77" s="296"/>
      <c r="F77" s="308"/>
      <c r="G77" s="308"/>
      <c r="H77" s="308"/>
      <c r="I77" s="308"/>
      <c r="J77" s="296"/>
      <c r="K77" s="295"/>
      <c r="L77" s="299"/>
      <c r="M77" s="295"/>
    </row>
    <row r="78" spans="1:250" s="202" customFormat="1" ht="20.100000000000001" customHeight="1" x14ac:dyDescent="0.15">
      <c r="A78" s="294"/>
      <c r="B78" s="219"/>
      <c r="C78" s="219"/>
      <c r="D78" s="219"/>
      <c r="E78" s="219"/>
      <c r="F78" s="262"/>
      <c r="G78" s="218"/>
      <c r="H78" s="218"/>
      <c r="I78" s="218"/>
      <c r="J78" s="218"/>
      <c r="K78" s="218"/>
      <c r="L78" s="262"/>
      <c r="M78" s="219"/>
    </row>
    <row r="79" spans="1:250" s="202" customFormat="1" ht="20.100000000000001" customHeight="1" x14ac:dyDescent="0.15">
      <c r="A79" s="221"/>
      <c r="B79" s="219"/>
      <c r="C79" s="219"/>
      <c r="D79" s="219"/>
      <c r="E79" s="219"/>
      <c r="F79" s="219"/>
      <c r="G79" s="219"/>
      <c r="H79" s="219"/>
      <c r="I79" s="219"/>
      <c r="J79" s="219"/>
      <c r="K79" s="219"/>
      <c r="L79" s="219"/>
      <c r="M79" s="219"/>
    </row>
    <row r="80" spans="1:250" s="202" customFormat="1" ht="20.100000000000001" customHeight="1" x14ac:dyDescent="0.15">
      <c r="A80" s="221"/>
      <c r="B80" s="241"/>
      <c r="C80" s="244"/>
      <c r="D80" s="244"/>
      <c r="E80" s="222"/>
      <c r="F80" s="263"/>
      <c r="G80" s="221"/>
      <c r="H80" s="221"/>
      <c r="I80" s="221"/>
      <c r="J80" s="241"/>
      <c r="K80" s="244"/>
      <c r="L80" s="264"/>
      <c r="M80" s="241"/>
    </row>
    <row r="81" spans="1:13" s="201" customFormat="1" ht="20.25" customHeight="1" x14ac:dyDescent="0.15"/>
    <row r="82" spans="1:13" s="202" customFormat="1" ht="20.100000000000001" customHeight="1" x14ac:dyDescent="0.15">
      <c r="A82" s="294"/>
      <c r="B82" s="295"/>
      <c r="C82" s="295"/>
      <c r="D82" s="297"/>
      <c r="E82" s="297"/>
      <c r="F82" s="298"/>
      <c r="G82" s="298"/>
      <c r="H82" s="298"/>
      <c r="I82" s="298"/>
      <c r="J82" s="298"/>
      <c r="K82" s="311"/>
      <c r="L82" s="298"/>
      <c r="M82" s="298"/>
    </row>
    <row r="83" spans="1:13" s="202" customFormat="1" ht="20.100000000000001" customHeight="1" x14ac:dyDescent="0.15">
      <c r="A83" s="294"/>
      <c r="B83" s="295"/>
      <c r="C83" s="295"/>
      <c r="D83" s="299"/>
      <c r="E83" s="299"/>
      <c r="F83" s="295"/>
      <c r="G83" s="295"/>
      <c r="H83" s="295"/>
      <c r="I83" s="298"/>
      <c r="J83" s="295"/>
      <c r="K83" s="311"/>
      <c r="L83" s="299"/>
      <c r="M83" s="299"/>
    </row>
    <row r="84" spans="1:13" s="202" customFormat="1" ht="20.100000000000001" customHeight="1" x14ac:dyDescent="0.15">
      <c r="A84" s="294"/>
      <c r="B84" s="295"/>
      <c r="C84" s="295"/>
      <c r="D84" s="299"/>
      <c r="E84" s="299"/>
      <c r="F84" s="294"/>
      <c r="G84" s="294"/>
      <c r="H84" s="294"/>
      <c r="I84" s="298"/>
      <c r="J84" s="295"/>
      <c r="K84" s="311"/>
      <c r="L84" s="297"/>
      <c r="M84" s="297"/>
    </row>
    <row r="85" spans="1:13" s="202" customFormat="1" ht="20.100000000000001" customHeight="1" x14ac:dyDescent="0.15">
      <c r="A85" s="294"/>
      <c r="B85" s="295"/>
      <c r="C85" s="295"/>
      <c r="D85" s="299"/>
      <c r="E85" s="299"/>
      <c r="F85" s="294"/>
      <c r="G85" s="294"/>
      <c r="H85" s="294"/>
      <c r="I85" s="298"/>
      <c r="J85" s="295"/>
      <c r="K85" s="311"/>
      <c r="L85" s="297"/>
      <c r="M85" s="297"/>
    </row>
    <row r="86" spans="1:13" s="202" customFormat="1" ht="20.100000000000001" customHeight="1" x14ac:dyDescent="0.15">
      <c r="A86" s="294"/>
      <c r="B86" s="219"/>
      <c r="C86" s="219"/>
      <c r="D86" s="262"/>
      <c r="E86" s="262"/>
      <c r="F86" s="218"/>
      <c r="G86" s="218"/>
      <c r="H86" s="218"/>
      <c r="I86" s="218"/>
      <c r="J86" s="218"/>
      <c r="K86" s="262"/>
      <c r="L86" s="265"/>
      <c r="M86" s="265"/>
    </row>
    <row r="87" spans="1:13" s="202" customFormat="1" ht="20.100000000000001" customHeight="1" x14ac:dyDescent="0.15">
      <c r="A87" s="221"/>
      <c r="B87" s="219"/>
      <c r="C87" s="219"/>
      <c r="D87" s="219"/>
      <c r="E87" s="219"/>
      <c r="F87" s="219"/>
      <c r="G87" s="219"/>
      <c r="H87" s="219"/>
      <c r="I87" s="219"/>
      <c r="J87" s="219"/>
      <c r="K87" s="219"/>
      <c r="L87" s="267"/>
      <c r="M87" s="267"/>
    </row>
    <row r="88" spans="1:13" s="202" customFormat="1" ht="20.100000000000001" customHeight="1" x14ac:dyDescent="0.15">
      <c r="A88" s="221"/>
      <c r="B88" s="244"/>
      <c r="C88" s="244"/>
      <c r="D88" s="266"/>
      <c r="E88" s="266"/>
      <c r="F88" s="221"/>
      <c r="G88" s="221"/>
      <c r="H88" s="221"/>
      <c r="I88" s="241"/>
      <c r="J88" s="244"/>
      <c r="K88" s="264"/>
      <c r="L88" s="266"/>
      <c r="M88" s="266"/>
    </row>
    <row r="89" spans="1:13" s="201" customFormat="1" ht="20.100000000000001" customHeight="1" x14ac:dyDescent="0.15">
      <c r="K89" s="206"/>
      <c r="L89" s="206"/>
      <c r="M89" s="206"/>
    </row>
    <row r="90" spans="1:13" s="205" customFormat="1" ht="20.100000000000001" customHeight="1" x14ac:dyDescent="0.15">
      <c r="A90" s="294"/>
      <c r="B90" s="295"/>
      <c r="C90" s="295"/>
      <c r="D90" s="295"/>
      <c r="E90" s="295"/>
      <c r="F90" s="295"/>
      <c r="G90" s="295"/>
      <c r="H90" s="295"/>
      <c r="I90" s="295"/>
      <c r="J90" s="295"/>
      <c r="K90" s="295"/>
      <c r="L90" s="295"/>
      <c r="M90" s="295"/>
    </row>
    <row r="91" spans="1:13" s="205" customFormat="1" ht="20.100000000000001" customHeight="1" x14ac:dyDescent="0.15">
      <c r="A91" s="294"/>
      <c r="B91" s="297"/>
      <c r="C91" s="297"/>
      <c r="D91" s="297"/>
      <c r="E91" s="297"/>
      <c r="F91" s="299"/>
      <c r="G91" s="299"/>
      <c r="H91" s="299"/>
      <c r="I91" s="299"/>
      <c r="J91" s="299"/>
      <c r="K91" s="299"/>
      <c r="L91" s="299"/>
      <c r="M91" s="299"/>
    </row>
    <row r="92" spans="1:13" s="205" customFormat="1" ht="20.100000000000001" customHeight="1" x14ac:dyDescent="0.15">
      <c r="A92" s="294"/>
      <c r="B92" s="299"/>
      <c r="C92" s="299"/>
      <c r="D92" s="299"/>
      <c r="E92" s="308"/>
      <c r="F92" s="309"/>
      <c r="G92" s="309"/>
      <c r="H92" s="309"/>
      <c r="I92" s="309"/>
      <c r="J92" s="309"/>
      <c r="K92" s="309"/>
      <c r="L92" s="309"/>
      <c r="M92" s="306"/>
    </row>
    <row r="93" spans="1:13" s="205" customFormat="1" ht="20.100000000000001" customHeight="1" x14ac:dyDescent="0.15">
      <c r="A93" s="294"/>
      <c r="B93" s="299"/>
      <c r="C93" s="299"/>
      <c r="D93" s="299"/>
      <c r="E93" s="308"/>
      <c r="F93" s="309"/>
      <c r="G93" s="309"/>
      <c r="H93" s="309"/>
      <c r="I93" s="309"/>
      <c r="J93" s="309"/>
      <c r="K93" s="309"/>
      <c r="L93" s="309"/>
      <c r="M93" s="306"/>
    </row>
    <row r="94" spans="1:13" s="205" customFormat="1" ht="20.100000000000001" customHeight="1" x14ac:dyDescent="0.15">
      <c r="A94" s="294"/>
      <c r="B94" s="265"/>
      <c r="C94" s="262"/>
      <c r="D94" s="262"/>
      <c r="E94" s="262"/>
      <c r="F94" s="263"/>
      <c r="G94" s="263"/>
      <c r="H94" s="263"/>
      <c r="I94" s="263"/>
      <c r="J94" s="263"/>
      <c r="K94" s="263"/>
      <c r="L94" s="263"/>
      <c r="M94" s="263"/>
    </row>
    <row r="95" spans="1:13" s="205" customFormat="1" ht="20.100000000000001" customHeight="1" x14ac:dyDescent="0.15">
      <c r="A95" s="221"/>
      <c r="B95" s="265"/>
      <c r="C95" s="265"/>
      <c r="D95" s="265"/>
      <c r="E95" s="265"/>
      <c r="F95" s="267"/>
      <c r="G95" s="267"/>
      <c r="H95" s="267"/>
      <c r="I95" s="267"/>
      <c r="J95" s="267"/>
      <c r="K95" s="267"/>
      <c r="L95" s="267"/>
      <c r="M95" s="267"/>
    </row>
    <row r="96" spans="1:13" s="205" customFormat="1" ht="20.100000000000001" customHeight="1" x14ac:dyDescent="0.15">
      <c r="A96" s="221"/>
      <c r="B96" s="264"/>
      <c r="C96" s="264"/>
      <c r="D96" s="266"/>
      <c r="E96" s="268"/>
      <c r="F96" s="269"/>
      <c r="G96" s="269"/>
      <c r="H96" s="269"/>
      <c r="I96" s="269"/>
      <c r="J96" s="269"/>
      <c r="K96" s="269"/>
      <c r="L96" s="269"/>
      <c r="M96" s="263"/>
    </row>
    <row r="97" spans="1:14" s="206" customFormat="1" ht="20.100000000000001" customHeight="1" x14ac:dyDescent="0.15">
      <c r="N97" s="201"/>
    </row>
    <row r="98" spans="1:14" s="205" customFormat="1" ht="20.100000000000001" customHeight="1" x14ac:dyDescent="0.15">
      <c r="A98" s="294"/>
      <c r="B98" s="241"/>
      <c r="C98" s="306"/>
      <c r="F98" s="270"/>
      <c r="G98" s="270"/>
      <c r="H98" s="270"/>
      <c r="I98" s="270"/>
      <c r="J98" s="270"/>
      <c r="K98" s="270"/>
      <c r="L98" s="270"/>
      <c r="M98" s="203"/>
      <c r="N98" s="166"/>
    </row>
    <row r="99" spans="1:14" s="205" customFormat="1" ht="20.100000000000001" customHeight="1" x14ac:dyDescent="0.15">
      <c r="A99" s="294"/>
      <c r="B99" s="264"/>
      <c r="C99" s="306"/>
      <c r="F99" s="271"/>
      <c r="G99" s="271"/>
      <c r="H99" s="271"/>
      <c r="I99" s="271"/>
      <c r="J99" s="271"/>
      <c r="K99" s="271"/>
      <c r="L99" s="271"/>
      <c r="M99" s="271"/>
      <c r="N99" s="166"/>
    </row>
    <row r="100" spans="1:14" s="205" customFormat="1" ht="20.100000000000001" customHeight="1" x14ac:dyDescent="0.15">
      <c r="A100" s="294"/>
      <c r="B100" s="306"/>
      <c r="C100" s="306"/>
      <c r="F100" s="272"/>
      <c r="G100" s="272"/>
      <c r="H100" s="272"/>
      <c r="I100" s="272"/>
      <c r="J100" s="272"/>
      <c r="K100" s="272"/>
      <c r="L100" s="272"/>
      <c r="M100" s="273"/>
      <c r="N100" s="306"/>
    </row>
    <row r="101" spans="1:14" s="205" customFormat="1" ht="20.100000000000001" customHeight="1" x14ac:dyDescent="0.15">
      <c r="A101" s="294"/>
      <c r="B101" s="306"/>
      <c r="C101" s="306"/>
      <c r="F101" s="272"/>
      <c r="G101" s="272"/>
      <c r="H101" s="272"/>
      <c r="I101" s="272"/>
      <c r="J101" s="272"/>
      <c r="K101" s="272"/>
      <c r="L101" s="272"/>
      <c r="M101" s="273"/>
      <c r="N101" s="306"/>
    </row>
    <row r="102" spans="1:14" s="205" customFormat="1" ht="20.100000000000001" customHeight="1" x14ac:dyDescent="0.15">
      <c r="A102" s="294"/>
      <c r="B102" s="263"/>
      <c r="C102" s="262"/>
      <c r="F102" s="273"/>
      <c r="G102" s="273"/>
      <c r="H102" s="273"/>
      <c r="I102" s="273"/>
      <c r="J102" s="273"/>
      <c r="K102" s="273"/>
      <c r="L102" s="273"/>
      <c r="M102" s="273"/>
      <c r="N102" s="263"/>
    </row>
    <row r="103" spans="1:14" s="205" customFormat="1" ht="20.100000000000001" customHeight="1" x14ac:dyDescent="0.15">
      <c r="A103" s="221"/>
      <c r="B103" s="267"/>
      <c r="C103" s="265"/>
      <c r="F103" s="274"/>
      <c r="G103" s="274"/>
      <c r="H103" s="274"/>
      <c r="I103" s="274"/>
      <c r="J103" s="274"/>
      <c r="K103" s="274"/>
      <c r="L103" s="274"/>
      <c r="M103" s="274"/>
      <c r="N103" s="267"/>
    </row>
    <row r="104" spans="1:14" s="205" customFormat="1" ht="20.100000000000001" customHeight="1" x14ac:dyDescent="0.15">
      <c r="A104" s="221"/>
      <c r="B104" s="263"/>
      <c r="C104" s="263"/>
      <c r="F104" s="275"/>
      <c r="G104" s="275"/>
      <c r="H104" s="275"/>
      <c r="I104" s="275"/>
      <c r="J104" s="275"/>
      <c r="K104" s="275"/>
      <c r="L104" s="275"/>
      <c r="M104" s="276"/>
      <c r="N104" s="277"/>
    </row>
    <row r="105" spans="1:14" s="206" customFormat="1" ht="20.100000000000001" customHeight="1" x14ac:dyDescent="0.15">
      <c r="C105" s="238"/>
      <c r="D105" s="239"/>
      <c r="E105" s="239"/>
      <c r="F105" s="238"/>
      <c r="G105" s="239"/>
      <c r="H105" s="239"/>
      <c r="I105" s="238"/>
      <c r="N105" s="202"/>
    </row>
    <row r="106" spans="1:14" s="202" customFormat="1" ht="20.100000000000001" customHeight="1" x14ac:dyDescent="0.15">
      <c r="A106" s="206"/>
      <c r="B106" s="206"/>
      <c r="C106" s="206"/>
      <c r="D106" s="206"/>
      <c r="E106" s="206"/>
      <c r="F106" s="206"/>
      <c r="G106" s="206"/>
      <c r="H106" s="206"/>
      <c r="I106" s="206"/>
      <c r="J106" s="206"/>
      <c r="K106" s="206"/>
      <c r="L106" s="206"/>
      <c r="M106" s="206"/>
    </row>
    <row r="107" spans="1:14" s="202" customFormat="1" ht="20.100000000000001" customHeight="1" x14ac:dyDescent="0.15">
      <c r="A107" s="206"/>
      <c r="B107" s="206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</row>
    <row r="108" spans="1:14" s="202" customFormat="1" ht="20.100000000000001" customHeight="1" x14ac:dyDescent="0.15">
      <c r="A108" s="206"/>
      <c r="B108" s="206"/>
      <c r="C108" s="206"/>
      <c r="D108" s="206"/>
      <c r="E108" s="206"/>
      <c r="F108" s="206"/>
      <c r="G108" s="206"/>
      <c r="H108" s="206"/>
      <c r="I108" s="206"/>
      <c r="J108" s="206"/>
      <c r="K108" s="206"/>
      <c r="L108" s="206"/>
      <c r="M108" s="206"/>
      <c r="N108" s="201"/>
    </row>
    <row r="109" spans="1:14" s="202" customFormat="1" ht="20.100000000000001" customHeight="1" x14ac:dyDescent="0.15">
      <c r="A109" s="206"/>
      <c r="B109" s="206"/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1"/>
    </row>
    <row r="110" spans="1:14" s="202" customFormat="1" ht="20.100000000000001" customHeight="1" x14ac:dyDescent="0.15">
      <c r="A110" s="206"/>
      <c r="B110" s="206"/>
      <c r="C110" s="206"/>
      <c r="D110" s="206"/>
      <c r="E110" s="206"/>
      <c r="F110" s="206"/>
      <c r="G110" s="206"/>
      <c r="H110" s="206"/>
      <c r="I110" s="206"/>
      <c r="J110" s="206"/>
      <c r="K110" s="206"/>
      <c r="L110" s="206"/>
      <c r="M110" s="206"/>
      <c r="N110" s="201"/>
    </row>
    <row r="111" spans="1:14" s="202" customFormat="1" ht="20.100000000000001" customHeight="1" x14ac:dyDescent="0.15">
      <c r="A111" s="206"/>
      <c r="B111" s="206"/>
      <c r="C111" s="206"/>
      <c r="D111" s="206"/>
      <c r="E111" s="206"/>
      <c r="F111" s="206"/>
      <c r="G111" s="206"/>
      <c r="H111" s="206"/>
      <c r="I111" s="206"/>
      <c r="J111" s="206"/>
      <c r="K111" s="206"/>
      <c r="L111" s="206"/>
      <c r="M111" s="206"/>
      <c r="N111" s="201"/>
    </row>
    <row r="112" spans="1:14" s="202" customFormat="1" ht="20.100000000000001" customHeight="1" x14ac:dyDescent="0.15">
      <c r="A112" s="206"/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1"/>
    </row>
    <row r="113" spans="1:14" s="202" customFormat="1" ht="20.100000000000001" customHeight="1" x14ac:dyDescent="0.15">
      <c r="A113" s="206"/>
      <c r="B113" s="206"/>
      <c r="C113" s="206"/>
      <c r="D113" s="206"/>
      <c r="E113" s="206"/>
      <c r="F113" s="206"/>
      <c r="G113" s="206"/>
      <c r="H113" s="206"/>
      <c r="I113" s="206"/>
      <c r="J113" s="206"/>
      <c r="K113" s="206"/>
      <c r="L113" s="206"/>
      <c r="M113" s="206"/>
      <c r="N113" s="201"/>
    </row>
    <row r="114" spans="1:14" ht="28.5" customHeight="1" x14ac:dyDescent="0.15"/>
  </sheetData>
  <mergeCells count="184">
    <mergeCell ref="N100:N101"/>
    <mergeCell ref="L2:M2"/>
    <mergeCell ref="M21:M23"/>
    <mergeCell ref="M29:M31"/>
    <mergeCell ref="M41:M42"/>
    <mergeCell ref="M49:M50"/>
    <mergeCell ref="M56:M58"/>
    <mergeCell ref="M65:M66"/>
    <mergeCell ref="M75:M77"/>
    <mergeCell ref="M84:M85"/>
    <mergeCell ref="M92:M93"/>
    <mergeCell ref="K29:K31"/>
    <mergeCell ref="K41:K42"/>
    <mergeCell ref="K49:K50"/>
    <mergeCell ref="K56:K58"/>
    <mergeCell ref="K64:K66"/>
    <mergeCell ref="K75:K77"/>
    <mergeCell ref="K82:K85"/>
    <mergeCell ref="K92:K93"/>
    <mergeCell ref="L5:L7"/>
    <mergeCell ref="L13:L15"/>
    <mergeCell ref="L21:L23"/>
    <mergeCell ref="L29:L31"/>
    <mergeCell ref="L41:L42"/>
    <mergeCell ref="L49:L50"/>
    <mergeCell ref="L56:L58"/>
    <mergeCell ref="L64:L66"/>
    <mergeCell ref="L75:L77"/>
    <mergeCell ref="L84:L85"/>
    <mergeCell ref="L92:L93"/>
    <mergeCell ref="I29:I31"/>
    <mergeCell ref="I41:I42"/>
    <mergeCell ref="I49:I50"/>
    <mergeCell ref="I57:I58"/>
    <mergeCell ref="I64:I66"/>
    <mergeCell ref="I75:I77"/>
    <mergeCell ref="I83:I85"/>
    <mergeCell ref="I92:I93"/>
    <mergeCell ref="J5:J7"/>
    <mergeCell ref="J13:J15"/>
    <mergeCell ref="J21:J23"/>
    <mergeCell ref="J29:J31"/>
    <mergeCell ref="J41:J42"/>
    <mergeCell ref="J49:J50"/>
    <mergeCell ref="J57:J58"/>
    <mergeCell ref="J64:J66"/>
    <mergeCell ref="J75:J77"/>
    <mergeCell ref="J83:J85"/>
    <mergeCell ref="J92:J93"/>
    <mergeCell ref="G29:G31"/>
    <mergeCell ref="G41:G42"/>
    <mergeCell ref="G49:G50"/>
    <mergeCell ref="G57:G58"/>
    <mergeCell ref="G64:G66"/>
    <mergeCell ref="G75:G77"/>
    <mergeCell ref="G83:G85"/>
    <mergeCell ref="G92:G93"/>
    <mergeCell ref="H5:H7"/>
    <mergeCell ref="H13:H15"/>
    <mergeCell ref="H21:H23"/>
    <mergeCell ref="H29:H31"/>
    <mergeCell ref="H41:H42"/>
    <mergeCell ref="H49:H50"/>
    <mergeCell ref="H57:H58"/>
    <mergeCell ref="H64:H66"/>
    <mergeCell ref="H75:H77"/>
    <mergeCell ref="H83:H85"/>
    <mergeCell ref="H92:H93"/>
    <mergeCell ref="E29:E31"/>
    <mergeCell ref="E41:E42"/>
    <mergeCell ref="E49:E50"/>
    <mergeCell ref="E57:E58"/>
    <mergeCell ref="E64:E66"/>
    <mergeCell ref="E75:E77"/>
    <mergeCell ref="E83:E85"/>
    <mergeCell ref="E92:E93"/>
    <mergeCell ref="F4:F7"/>
    <mergeCell ref="F13:F15"/>
    <mergeCell ref="F21:F23"/>
    <mergeCell ref="F29:F31"/>
    <mergeCell ref="F41:F42"/>
    <mergeCell ref="F49:F50"/>
    <mergeCell ref="F57:F58"/>
    <mergeCell ref="F64:F66"/>
    <mergeCell ref="F75:F77"/>
    <mergeCell ref="F83:F85"/>
    <mergeCell ref="F92:F93"/>
    <mergeCell ref="C83:C85"/>
    <mergeCell ref="C92:C93"/>
    <mergeCell ref="C98:C101"/>
    <mergeCell ref="D4:D7"/>
    <mergeCell ref="D13:D15"/>
    <mergeCell ref="D21:D23"/>
    <mergeCell ref="D29:D31"/>
    <mergeCell ref="D41:D42"/>
    <mergeCell ref="D49:D50"/>
    <mergeCell ref="D57:D58"/>
    <mergeCell ref="D64:D66"/>
    <mergeCell ref="D75:D77"/>
    <mergeCell ref="D83:D85"/>
    <mergeCell ref="D92:D93"/>
    <mergeCell ref="A98:A102"/>
    <mergeCell ref="B4:B8"/>
    <mergeCell ref="B13:B15"/>
    <mergeCell ref="B21:B23"/>
    <mergeCell ref="B29:B31"/>
    <mergeCell ref="B41:B42"/>
    <mergeCell ref="B49:B50"/>
    <mergeCell ref="B57:B58"/>
    <mergeCell ref="B64:B66"/>
    <mergeCell ref="B75:B77"/>
    <mergeCell ref="B83:B85"/>
    <mergeCell ref="B92:B93"/>
    <mergeCell ref="B100:B101"/>
    <mergeCell ref="L83:M83"/>
    <mergeCell ref="B90:M90"/>
    <mergeCell ref="B91:E91"/>
    <mergeCell ref="F91:M91"/>
    <mergeCell ref="A4:A8"/>
    <mergeCell ref="A12:A16"/>
    <mergeCell ref="A20:A24"/>
    <mergeCell ref="A28:A32"/>
    <mergeCell ref="A39:A43"/>
    <mergeCell ref="A47:A51"/>
    <mergeCell ref="A55:A59"/>
    <mergeCell ref="A63:A67"/>
    <mergeCell ref="A74:A78"/>
    <mergeCell ref="A82:A86"/>
    <mergeCell ref="A90:A94"/>
    <mergeCell ref="C4:C8"/>
    <mergeCell ref="C13:C15"/>
    <mergeCell ref="C21:C23"/>
    <mergeCell ref="C29:C31"/>
    <mergeCell ref="C41:C42"/>
    <mergeCell ref="C49:C50"/>
    <mergeCell ref="C57:C58"/>
    <mergeCell ref="C64:C66"/>
    <mergeCell ref="C75:C77"/>
    <mergeCell ref="B55:M55"/>
    <mergeCell ref="E56:F56"/>
    <mergeCell ref="G56:H56"/>
    <mergeCell ref="B63:C63"/>
    <mergeCell ref="D63:M63"/>
    <mergeCell ref="A72:M72"/>
    <mergeCell ref="L73:M73"/>
    <mergeCell ref="B74:L74"/>
    <mergeCell ref="B82:C82"/>
    <mergeCell ref="D82:E82"/>
    <mergeCell ref="F82:H82"/>
    <mergeCell ref="I82:J82"/>
    <mergeCell ref="L82:M82"/>
    <mergeCell ref="A37:M37"/>
    <mergeCell ref="L38:M38"/>
    <mergeCell ref="B39:M39"/>
    <mergeCell ref="B40:D40"/>
    <mergeCell ref="E40:L40"/>
    <mergeCell ref="B47:F47"/>
    <mergeCell ref="G47:M47"/>
    <mergeCell ref="B48:D48"/>
    <mergeCell ref="E48:F48"/>
    <mergeCell ref="A1:M1"/>
    <mergeCell ref="L3:M3"/>
    <mergeCell ref="H4:J4"/>
    <mergeCell ref="K4:M4"/>
    <mergeCell ref="B12:D12"/>
    <mergeCell ref="E12:F12"/>
    <mergeCell ref="B20:D20"/>
    <mergeCell ref="E20:F20"/>
    <mergeCell ref="B28:D28"/>
    <mergeCell ref="E28:F28"/>
    <mergeCell ref="E4:E7"/>
    <mergeCell ref="E13:E15"/>
    <mergeCell ref="E21:E23"/>
    <mergeCell ref="G4:G8"/>
    <mergeCell ref="G13:G15"/>
    <mergeCell ref="G21:G23"/>
    <mergeCell ref="I5:I7"/>
    <mergeCell ref="I13:I15"/>
    <mergeCell ref="I21:I23"/>
    <mergeCell ref="K5:K7"/>
    <mergeCell ref="K13:K15"/>
    <mergeCell ref="K21:K23"/>
    <mergeCell ref="M5:M7"/>
    <mergeCell ref="M13:M15"/>
  </mergeCells>
  <phoneticPr fontId="27" type="noConversion"/>
  <pageMargins left="0.97" right="0.7" top="0.47" bottom="0.75" header="0.3" footer="0.3"/>
  <pageSetup paperSize="8" orientation="landscape" r:id="rId1"/>
  <rowBreaks count="3" manualBreakCount="3">
    <brk id="36" max="12" man="1"/>
    <brk id="70" max="12" man="1"/>
    <brk id="10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>
    <pageSetUpPr fitToPage="1"/>
  </sheetPr>
  <dimension ref="A1:V120"/>
  <sheetViews>
    <sheetView view="pageBreakPreview" topLeftCell="A4" zoomScale="85" zoomScaleNormal="85" workbookViewId="0">
      <selection activeCell="E27" sqref="E27:I33"/>
    </sheetView>
  </sheetViews>
  <sheetFormatPr defaultColWidth="15.5" defaultRowHeight="14.25" x14ac:dyDescent="0.15"/>
  <cols>
    <col min="1" max="1" width="5.125" style="80" customWidth="1"/>
    <col min="2" max="2" width="16.625" style="80" customWidth="1"/>
    <col min="3" max="3" width="16.25" style="80" customWidth="1"/>
    <col min="4" max="10" width="15.125" style="80" customWidth="1"/>
    <col min="11" max="11" width="16.125" style="80" customWidth="1"/>
    <col min="12" max="12" width="15.625" style="80" customWidth="1"/>
    <col min="13" max="13" width="16.875" style="80" customWidth="1"/>
    <col min="14" max="14" width="17.625" style="171" customWidth="1"/>
    <col min="15" max="236" width="9" style="80" customWidth="1"/>
    <col min="237" max="237" width="4.25" style="80" customWidth="1"/>
    <col min="238" max="238" width="17.375" style="80" customWidth="1"/>
    <col min="239" max="239" width="14.625" style="80" customWidth="1"/>
    <col min="240" max="240" width="13.25" style="80" customWidth="1"/>
    <col min="241" max="241" width="13.875" style="80" customWidth="1"/>
    <col min="242" max="242" width="12.875" style="80" customWidth="1"/>
    <col min="243" max="244" width="16.875" style="80" customWidth="1"/>
    <col min="245" max="246" width="17.125" style="80" customWidth="1"/>
    <col min="247" max="247" width="13.625" style="80" customWidth="1"/>
    <col min="248" max="248" width="15.125" style="80" customWidth="1"/>
    <col min="249" max="249" width="16.625" style="80" customWidth="1"/>
    <col min="250" max="250" width="17.625" style="80" customWidth="1"/>
    <col min="251" max="16384" width="15.5" style="80"/>
  </cols>
  <sheetData>
    <row r="1" spans="1:22" ht="53.25" customHeight="1" x14ac:dyDescent="0.15">
      <c r="A1" s="313" t="s">
        <v>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22" ht="30" customHeight="1" x14ac:dyDescent="0.15">
      <c r="A2" s="172" t="s">
        <v>25</v>
      </c>
      <c r="C2" s="173"/>
      <c r="D2" s="173"/>
      <c r="E2" s="173"/>
      <c r="F2" s="173"/>
      <c r="G2" s="173"/>
      <c r="H2" s="173"/>
      <c r="I2" s="173"/>
      <c r="J2" s="173"/>
      <c r="K2" s="173"/>
      <c r="L2" s="314" t="s">
        <v>1</v>
      </c>
      <c r="M2" s="314"/>
      <c r="P2" s="189"/>
    </row>
    <row r="3" spans="1:22" s="170" customFormat="1" ht="20.100000000000001" customHeight="1" x14ac:dyDescent="0.15">
      <c r="A3" s="327" t="s">
        <v>2</v>
      </c>
      <c r="B3" s="315" t="s">
        <v>26</v>
      </c>
      <c r="C3" s="315" t="s">
        <v>4</v>
      </c>
      <c r="D3" s="315" t="s">
        <v>5</v>
      </c>
      <c r="E3" s="315" t="s">
        <v>27</v>
      </c>
      <c r="F3" s="315" t="s">
        <v>28</v>
      </c>
      <c r="G3" s="315" t="s">
        <v>8</v>
      </c>
      <c r="H3" s="315" t="s">
        <v>29</v>
      </c>
      <c r="I3" s="315"/>
      <c r="J3" s="315" t="s">
        <v>30</v>
      </c>
      <c r="K3" s="315"/>
      <c r="L3" s="315"/>
      <c r="M3" s="316"/>
    </row>
    <row r="4" spans="1:22" s="170" customFormat="1" ht="20.100000000000001" customHeight="1" x14ac:dyDescent="0.15">
      <c r="A4" s="328"/>
      <c r="B4" s="322"/>
      <c r="C4" s="322"/>
      <c r="D4" s="322"/>
      <c r="E4" s="322"/>
      <c r="F4" s="322"/>
      <c r="G4" s="322"/>
      <c r="H4" s="120" t="s">
        <v>31</v>
      </c>
      <c r="I4" s="120" t="s">
        <v>32</v>
      </c>
      <c r="J4" s="319" t="s">
        <v>33</v>
      </c>
      <c r="K4" s="322" t="s">
        <v>34</v>
      </c>
      <c r="L4" s="319" t="s">
        <v>35</v>
      </c>
      <c r="M4" s="333" t="s">
        <v>36</v>
      </c>
    </row>
    <row r="5" spans="1:22" s="170" customFormat="1" ht="20.100000000000001" customHeight="1" x14ac:dyDescent="0.15">
      <c r="A5" s="328"/>
      <c r="B5" s="322"/>
      <c r="C5" s="322"/>
      <c r="D5" s="322"/>
      <c r="E5" s="322"/>
      <c r="F5" s="322"/>
      <c r="G5" s="322"/>
      <c r="H5" s="319" t="s">
        <v>37</v>
      </c>
      <c r="I5" s="319" t="s">
        <v>38</v>
      </c>
      <c r="J5" s="319"/>
      <c r="K5" s="322"/>
      <c r="L5" s="319"/>
      <c r="M5" s="333"/>
    </row>
    <row r="6" spans="1:22" s="170" customFormat="1" ht="20.100000000000001" customHeight="1" x14ac:dyDescent="0.15">
      <c r="A6" s="328"/>
      <c r="B6" s="322"/>
      <c r="C6" s="322"/>
      <c r="D6" s="322"/>
      <c r="E6" s="322"/>
      <c r="F6" s="322"/>
      <c r="G6" s="322"/>
      <c r="H6" s="319"/>
      <c r="I6" s="319"/>
      <c r="J6" s="319"/>
      <c r="K6" s="322"/>
      <c r="L6" s="319"/>
      <c r="M6" s="333"/>
    </row>
    <row r="7" spans="1:22" s="170" customFormat="1" ht="20.100000000000001" customHeight="1" x14ac:dyDescent="0.15">
      <c r="A7" s="328"/>
      <c r="B7" s="322"/>
      <c r="C7" s="322"/>
      <c r="D7" s="119" t="s">
        <v>16</v>
      </c>
      <c r="E7" s="119" t="s">
        <v>17</v>
      </c>
      <c r="F7" s="119" t="s">
        <v>17</v>
      </c>
      <c r="G7" s="322"/>
      <c r="H7" s="119" t="s">
        <v>39</v>
      </c>
      <c r="I7" s="119" t="s">
        <v>39</v>
      </c>
      <c r="J7" s="177" t="s">
        <v>40</v>
      </c>
      <c r="K7" s="177" t="s">
        <v>40</v>
      </c>
      <c r="L7" s="177" t="s">
        <v>41</v>
      </c>
      <c r="M7" s="186" t="s">
        <v>40</v>
      </c>
    </row>
    <row r="8" spans="1:22" s="170" customFormat="1" ht="20.100000000000001" customHeight="1" x14ac:dyDescent="0.15">
      <c r="A8" s="118">
        <v>1</v>
      </c>
      <c r="B8" s="119">
        <v>1</v>
      </c>
      <c r="C8" s="119">
        <f>B8+1</f>
        <v>2</v>
      </c>
      <c r="D8" s="119">
        <f t="shared" ref="D8:J8" si="0">C8+1</f>
        <v>3</v>
      </c>
      <c r="E8" s="119">
        <f t="shared" si="0"/>
        <v>4</v>
      </c>
      <c r="F8" s="119">
        <f t="shared" si="0"/>
        <v>5</v>
      </c>
      <c r="G8" s="119">
        <f t="shared" si="0"/>
        <v>6</v>
      </c>
      <c r="H8" s="119">
        <f t="shared" si="0"/>
        <v>7</v>
      </c>
      <c r="I8" s="119">
        <f t="shared" si="0"/>
        <v>8</v>
      </c>
      <c r="J8" s="190">
        <f t="shared" si="0"/>
        <v>9</v>
      </c>
      <c r="K8" s="190">
        <f t="shared" ref="K8:M8" si="1">J8+1</f>
        <v>10</v>
      </c>
      <c r="L8" s="190">
        <f t="shared" si="1"/>
        <v>11</v>
      </c>
      <c r="M8" s="191">
        <f t="shared" si="1"/>
        <v>12</v>
      </c>
    </row>
    <row r="9" spans="1:22" s="170" customFormat="1" ht="20.100000000000001" customHeight="1" x14ac:dyDescent="0.15">
      <c r="A9" s="121">
        <v>1</v>
      </c>
      <c r="B9" s="122" t="s">
        <v>42</v>
      </c>
      <c r="C9" s="123" t="s">
        <v>43</v>
      </c>
      <c r="D9" s="124" t="s">
        <v>44</v>
      </c>
      <c r="E9" s="125">
        <v>80</v>
      </c>
      <c r="F9" s="125">
        <v>50</v>
      </c>
      <c r="G9" s="174" t="s">
        <v>45</v>
      </c>
      <c r="H9" s="175">
        <f>89.8*1.1+1+49.32</f>
        <v>149.1</v>
      </c>
      <c r="I9" s="192">
        <f>INT(2.54+2.14+2.8+1.98)+1</f>
        <v>10</v>
      </c>
      <c r="J9" s="193">
        <f>(0.06+4.6+0.24+0.23+2.16+0.1+0.03+0.08+0.49)*1.1</f>
        <v>8.7889999999999997</v>
      </c>
      <c r="K9" s="136">
        <f>J9*0.3</f>
        <v>2.6366999999999998</v>
      </c>
      <c r="L9" s="122" t="s">
        <v>46</v>
      </c>
      <c r="M9" s="144">
        <f>J9</f>
        <v>8.7889999999999997</v>
      </c>
    </row>
    <row r="10" spans="1:22" s="170" customFormat="1" ht="20.100000000000001" customHeight="1" x14ac:dyDescent="0.15">
      <c r="A10" s="127"/>
      <c r="B10" s="127"/>
      <c r="C10" s="128"/>
      <c r="D10" s="129"/>
      <c r="E10" s="130"/>
      <c r="F10" s="130"/>
      <c r="G10" s="127"/>
      <c r="H10" s="131"/>
      <c r="I10" s="127"/>
      <c r="J10" s="194"/>
      <c r="K10" s="146"/>
      <c r="L10" s="112"/>
      <c r="M10" s="127"/>
      <c r="N10" s="171"/>
      <c r="P10" s="189"/>
      <c r="Q10" s="189"/>
      <c r="R10" s="189"/>
      <c r="S10" s="189"/>
      <c r="T10" s="189"/>
      <c r="U10" s="189"/>
      <c r="V10" s="189"/>
    </row>
    <row r="11" spans="1:22" s="170" customFormat="1" ht="20.100000000000001" customHeight="1" x14ac:dyDescent="0.15">
      <c r="A11" s="329" t="s">
        <v>2</v>
      </c>
      <c r="B11" s="315" t="s">
        <v>47</v>
      </c>
      <c r="C11" s="315"/>
      <c r="D11" s="315"/>
      <c r="E11" s="315" t="s">
        <v>48</v>
      </c>
      <c r="F11" s="315"/>
      <c r="G11" s="315"/>
      <c r="H11" s="315"/>
      <c r="I11" s="315"/>
      <c r="J11" s="315"/>
      <c r="K11" s="317" t="s">
        <v>49</v>
      </c>
      <c r="L11" s="317"/>
      <c r="M11" s="318"/>
    </row>
    <row r="12" spans="1:22" s="170" customFormat="1" ht="20.100000000000001" customHeight="1" x14ac:dyDescent="0.15">
      <c r="A12" s="330"/>
      <c r="B12" s="133" t="s">
        <v>50</v>
      </c>
      <c r="C12" s="133" t="s">
        <v>51</v>
      </c>
      <c r="D12" s="133" t="s">
        <v>52</v>
      </c>
      <c r="E12" s="319" t="s">
        <v>53</v>
      </c>
      <c r="F12" s="319" t="s">
        <v>54</v>
      </c>
      <c r="G12" s="319"/>
      <c r="H12" s="319"/>
      <c r="I12" s="133" t="s">
        <v>55</v>
      </c>
      <c r="J12" s="119" t="s">
        <v>56</v>
      </c>
      <c r="K12" s="324" t="s">
        <v>57</v>
      </c>
      <c r="L12" s="319" t="s">
        <v>58</v>
      </c>
      <c r="M12" s="333" t="s">
        <v>59</v>
      </c>
    </row>
    <row r="13" spans="1:22" s="170" customFormat="1" ht="20.100000000000001" customHeight="1" x14ac:dyDescent="0.15">
      <c r="A13" s="330"/>
      <c r="B13" s="324" t="s">
        <v>60</v>
      </c>
      <c r="C13" s="324" t="s">
        <v>61</v>
      </c>
      <c r="D13" s="324" t="s">
        <v>62</v>
      </c>
      <c r="E13" s="319"/>
      <c r="F13" s="319" t="s">
        <v>63</v>
      </c>
      <c r="G13" s="322" t="s">
        <v>64</v>
      </c>
      <c r="H13" s="324" t="s">
        <v>65</v>
      </c>
      <c r="I13" s="324" t="s">
        <v>66</v>
      </c>
      <c r="J13" s="120" t="s">
        <v>67</v>
      </c>
      <c r="K13" s="324"/>
      <c r="L13" s="322"/>
      <c r="M13" s="333"/>
    </row>
    <row r="14" spans="1:22" s="170" customFormat="1" ht="20.100000000000001" customHeight="1" x14ac:dyDescent="0.15">
      <c r="A14" s="330"/>
      <c r="B14" s="324"/>
      <c r="C14" s="324"/>
      <c r="D14" s="324"/>
      <c r="E14" s="319"/>
      <c r="F14" s="319"/>
      <c r="G14" s="322"/>
      <c r="H14" s="324"/>
      <c r="I14" s="324"/>
      <c r="J14" s="195" t="s">
        <v>68</v>
      </c>
      <c r="K14" s="324"/>
      <c r="L14" s="322"/>
      <c r="M14" s="333"/>
    </row>
    <row r="15" spans="1:22" s="170" customFormat="1" ht="20.100000000000001" customHeight="1" x14ac:dyDescent="0.15">
      <c r="A15" s="330"/>
      <c r="B15" s="176" t="s">
        <v>40</v>
      </c>
      <c r="C15" s="176" t="s">
        <v>40</v>
      </c>
      <c r="D15" s="134" t="s">
        <v>69</v>
      </c>
      <c r="E15" s="177" t="s">
        <v>70</v>
      </c>
      <c r="F15" s="119" t="s">
        <v>71</v>
      </c>
      <c r="G15" s="119" t="s">
        <v>71</v>
      </c>
      <c r="H15" s="119" t="s">
        <v>71</v>
      </c>
      <c r="I15" s="134" t="s">
        <v>72</v>
      </c>
      <c r="J15" s="177" t="s">
        <v>73</v>
      </c>
      <c r="K15" s="119" t="s">
        <v>74</v>
      </c>
      <c r="L15" s="119" t="s">
        <v>75</v>
      </c>
      <c r="M15" s="134" t="s">
        <v>69</v>
      </c>
    </row>
    <row r="16" spans="1:22" s="170" customFormat="1" ht="20.100000000000001" customHeight="1" x14ac:dyDescent="0.15">
      <c r="A16" s="132">
        <v>1</v>
      </c>
      <c r="B16" s="134">
        <f>L8+1</f>
        <v>12</v>
      </c>
      <c r="C16" s="134">
        <f>M8+1</f>
        <v>13</v>
      </c>
      <c r="D16" s="134">
        <f t="shared" ref="D16:J16" si="2">C16+1</f>
        <v>14</v>
      </c>
      <c r="E16" s="134">
        <f t="shared" si="2"/>
        <v>15</v>
      </c>
      <c r="F16" s="134">
        <f t="shared" si="2"/>
        <v>16</v>
      </c>
      <c r="G16" s="134">
        <f t="shared" si="2"/>
        <v>17</v>
      </c>
      <c r="H16" s="134">
        <f t="shared" si="2"/>
        <v>18</v>
      </c>
      <c r="I16" s="134">
        <f t="shared" si="2"/>
        <v>19</v>
      </c>
      <c r="J16" s="134">
        <f t="shared" si="2"/>
        <v>20</v>
      </c>
      <c r="K16" s="134">
        <f>G16+1</f>
        <v>18</v>
      </c>
      <c r="L16" s="134">
        <f>K16+1</f>
        <v>19</v>
      </c>
      <c r="M16" s="147">
        <f>L16+1</f>
        <v>20</v>
      </c>
    </row>
    <row r="17" spans="1:22" s="170" customFormat="1" ht="20.100000000000001" customHeight="1" x14ac:dyDescent="0.15">
      <c r="A17" s="135">
        <v>1</v>
      </c>
      <c r="B17" s="136">
        <f>2.9*0.25</f>
        <v>0.72499999999999998</v>
      </c>
      <c r="C17" s="136">
        <f>2.9*0.25</f>
        <v>0.72499999999999998</v>
      </c>
      <c r="D17" s="143">
        <v>196</v>
      </c>
      <c r="E17" s="178">
        <v>3</v>
      </c>
      <c r="F17" s="278" t="s">
        <v>76</v>
      </c>
      <c r="G17" s="279" t="str">
        <f>F17</f>
        <v>11.5/96</v>
      </c>
      <c r="H17" s="279" t="str">
        <f>G17</f>
        <v>11.5/96</v>
      </c>
      <c r="I17" s="137">
        <v>96</v>
      </c>
      <c r="J17" s="122">
        <v>1</v>
      </c>
      <c r="K17" s="136">
        <f>1.85*16*3</f>
        <v>88.8</v>
      </c>
      <c r="L17" s="178">
        <f>3*16*3</f>
        <v>144</v>
      </c>
      <c r="M17" s="144">
        <f>18.5*16*3</f>
        <v>888</v>
      </c>
    </row>
    <row r="18" spans="1:22" s="170" customFormat="1" ht="20.100000000000001" customHeight="1" x14ac:dyDescent="0.15">
      <c r="A18" s="127"/>
      <c r="B18" s="127"/>
      <c r="C18" s="128"/>
      <c r="D18" s="129"/>
      <c r="E18" s="130"/>
      <c r="F18" s="130"/>
      <c r="G18" s="127"/>
      <c r="H18" s="131"/>
      <c r="I18" s="127"/>
      <c r="J18" s="194"/>
      <c r="K18" s="146"/>
      <c r="M18" s="127"/>
      <c r="N18"/>
      <c r="O18"/>
      <c r="P18"/>
      <c r="Q18"/>
      <c r="R18"/>
      <c r="S18"/>
      <c r="T18"/>
      <c r="U18" s="189"/>
      <c r="V18" s="189"/>
    </row>
    <row r="19" spans="1:22" s="170" customFormat="1" ht="20.100000000000001" customHeight="1" x14ac:dyDescent="0.15">
      <c r="A19" s="329" t="s">
        <v>2</v>
      </c>
      <c r="B19" s="317" t="s">
        <v>49</v>
      </c>
      <c r="C19" s="317"/>
      <c r="D19" s="317"/>
      <c r="E19" s="315" t="s">
        <v>77</v>
      </c>
      <c r="F19" s="315"/>
      <c r="G19" s="315"/>
      <c r="H19" s="315"/>
      <c r="I19" s="315"/>
      <c r="J19" s="320" t="s">
        <v>78</v>
      </c>
      <c r="K19" s="320"/>
      <c r="L19" s="320"/>
      <c r="M19" s="321"/>
      <c r="Q19"/>
      <c r="R19"/>
      <c r="S19"/>
      <c r="T19"/>
    </row>
    <row r="20" spans="1:22" s="170" customFormat="1" ht="20.100000000000001" customHeight="1" x14ac:dyDescent="0.15">
      <c r="A20" s="330"/>
      <c r="B20" s="324" t="s">
        <v>79</v>
      </c>
      <c r="C20" s="322" t="s">
        <v>80</v>
      </c>
      <c r="D20" s="322"/>
      <c r="E20" s="179" t="s">
        <v>81</v>
      </c>
      <c r="F20" s="323" t="s">
        <v>82</v>
      </c>
      <c r="G20" s="323"/>
      <c r="H20" s="323"/>
      <c r="I20" s="323"/>
      <c r="J20" s="324" t="s">
        <v>83</v>
      </c>
      <c r="K20" s="324"/>
      <c r="L20" s="324" t="s">
        <v>84</v>
      </c>
      <c r="M20" s="334" t="s">
        <v>85</v>
      </c>
    </row>
    <row r="21" spans="1:22" s="170" customFormat="1" ht="20.100000000000001" customHeight="1" x14ac:dyDescent="0.15">
      <c r="A21" s="330"/>
      <c r="B21" s="324"/>
      <c r="C21" s="322" t="s">
        <v>86</v>
      </c>
      <c r="D21" s="322" t="s">
        <v>87</v>
      </c>
      <c r="E21" s="332" t="s">
        <v>88</v>
      </c>
      <c r="F21" s="332" t="s">
        <v>89</v>
      </c>
      <c r="G21" s="332" t="s">
        <v>90</v>
      </c>
      <c r="H21" s="332" t="s">
        <v>91</v>
      </c>
      <c r="I21" s="332" t="s">
        <v>92</v>
      </c>
      <c r="J21" s="324" t="s">
        <v>93</v>
      </c>
      <c r="K21" s="324" t="s">
        <v>94</v>
      </c>
      <c r="L21" s="324"/>
      <c r="M21" s="334"/>
    </row>
    <row r="22" spans="1:22" s="170" customFormat="1" ht="20.100000000000001" customHeight="1" x14ac:dyDescent="0.15">
      <c r="A22" s="330"/>
      <c r="B22" s="324"/>
      <c r="C22" s="322"/>
      <c r="D22" s="322"/>
      <c r="E22" s="332"/>
      <c r="F22" s="332"/>
      <c r="G22" s="332"/>
      <c r="H22" s="332"/>
      <c r="I22" s="332"/>
      <c r="J22" s="324"/>
      <c r="K22" s="324"/>
      <c r="L22" s="324"/>
      <c r="M22" s="334"/>
    </row>
    <row r="23" spans="1:22" s="170" customFormat="1" ht="20.100000000000001" customHeight="1" x14ac:dyDescent="0.15">
      <c r="A23" s="330"/>
      <c r="B23" s="119" t="s">
        <v>75</v>
      </c>
      <c r="C23" s="119" t="s">
        <v>95</v>
      </c>
      <c r="D23" s="119" t="s">
        <v>95</v>
      </c>
      <c r="E23" s="181" t="s">
        <v>96</v>
      </c>
      <c r="F23" s="180" t="s">
        <v>74</v>
      </c>
      <c r="G23" s="180" t="s">
        <v>74</v>
      </c>
      <c r="H23" s="180" t="s">
        <v>97</v>
      </c>
      <c r="I23" s="180" t="s">
        <v>97</v>
      </c>
      <c r="J23" s="134" t="s">
        <v>98</v>
      </c>
      <c r="K23" s="176" t="s">
        <v>99</v>
      </c>
      <c r="L23" s="196" t="s">
        <v>100</v>
      </c>
      <c r="M23" s="197" t="s">
        <v>99</v>
      </c>
    </row>
    <row r="24" spans="1:22" s="170" customFormat="1" ht="20.100000000000001" customHeight="1" x14ac:dyDescent="0.15">
      <c r="A24" s="132">
        <v>1</v>
      </c>
      <c r="B24" s="134">
        <f>J16+1</f>
        <v>21</v>
      </c>
      <c r="C24" s="134">
        <f>B24+1</f>
        <v>22</v>
      </c>
      <c r="D24" s="134">
        <f>C24+1</f>
        <v>23</v>
      </c>
      <c r="E24" s="180">
        <f>D24+1</f>
        <v>24</v>
      </c>
      <c r="F24" s="180">
        <f>E24+1</f>
        <v>25</v>
      </c>
      <c r="G24" s="180">
        <f>F24+1</f>
        <v>26</v>
      </c>
      <c r="H24" s="134">
        <f>D24+1</f>
        <v>24</v>
      </c>
      <c r="I24" s="179">
        <f>H24+1</f>
        <v>25</v>
      </c>
      <c r="J24" s="134">
        <f>I24+1</f>
        <v>26</v>
      </c>
      <c r="K24" s="134">
        <f t="shared" ref="K24:M24" si="3">J24+1</f>
        <v>27</v>
      </c>
      <c r="L24" s="134">
        <f t="shared" si="3"/>
        <v>28</v>
      </c>
      <c r="M24" s="147">
        <f t="shared" si="3"/>
        <v>29</v>
      </c>
    </row>
    <row r="25" spans="1:22" s="170" customFormat="1" ht="20.100000000000001" customHeight="1" x14ac:dyDescent="0.15">
      <c r="A25" s="135">
        <v>1</v>
      </c>
      <c r="B25" s="182">
        <f>8*16*3</f>
        <v>384</v>
      </c>
      <c r="C25" s="178">
        <f>24*16*3</f>
        <v>1152</v>
      </c>
      <c r="D25" s="178">
        <f>16*16*3</f>
        <v>768</v>
      </c>
      <c r="E25" s="183">
        <f>40*80*0.1</f>
        <v>320</v>
      </c>
      <c r="F25" s="184">
        <f>40*80</f>
        <v>3200</v>
      </c>
      <c r="G25" s="184">
        <f>F25*2</f>
        <v>6400</v>
      </c>
      <c r="H25" s="184">
        <f>F25*0.06</f>
        <v>192</v>
      </c>
      <c r="I25" s="184">
        <f>F25*0.04</f>
        <v>128</v>
      </c>
      <c r="J25" s="183">
        <f>C33</f>
        <v>11.2</v>
      </c>
      <c r="K25" s="280" t="s">
        <v>101</v>
      </c>
      <c r="L25" s="198" t="s">
        <v>102</v>
      </c>
      <c r="M25" s="281" t="s">
        <v>101</v>
      </c>
    </row>
    <row r="26" spans="1:22" s="170" customFormat="1" ht="20.100000000000001" customHeight="1" x14ac:dyDescent="0.15">
      <c r="A26" s="127"/>
      <c r="B26" s="127"/>
      <c r="C26" s="128"/>
      <c r="D26" s="129"/>
      <c r="E26" s="130"/>
      <c r="F26" s="130"/>
      <c r="G26" s="127"/>
      <c r="H26" s="131"/>
      <c r="I26" s="127"/>
      <c r="J26" s="194"/>
      <c r="K26" s="146"/>
      <c r="M26" s="127"/>
      <c r="N26"/>
      <c r="O26"/>
      <c r="P26"/>
      <c r="Q26"/>
      <c r="R26"/>
      <c r="S26"/>
      <c r="T26"/>
      <c r="U26" s="189"/>
      <c r="V26" s="189"/>
    </row>
    <row r="27" spans="1:22" s="170" customFormat="1" ht="20.100000000000001" customHeight="1" x14ac:dyDescent="0.15">
      <c r="A27" s="329" t="s">
        <v>2</v>
      </c>
      <c r="B27" s="325" t="s">
        <v>78</v>
      </c>
      <c r="C27" s="326"/>
      <c r="D27" s="185" t="s">
        <v>103</v>
      </c>
      <c r="J27"/>
      <c r="K27"/>
      <c r="L27"/>
      <c r="M27"/>
      <c r="N27"/>
      <c r="O27"/>
      <c r="P27"/>
      <c r="Q27"/>
      <c r="R27"/>
      <c r="S27"/>
      <c r="T27"/>
    </row>
    <row r="28" spans="1:22" s="170" customFormat="1" ht="20.100000000000001" customHeight="1" x14ac:dyDescent="0.15">
      <c r="A28" s="330"/>
      <c r="B28" s="133" t="s">
        <v>52</v>
      </c>
      <c r="C28" s="324" t="s">
        <v>104</v>
      </c>
      <c r="D28" s="331" t="s">
        <v>105</v>
      </c>
      <c r="J28"/>
      <c r="K28"/>
      <c r="L28"/>
      <c r="M28"/>
      <c r="N28"/>
      <c r="O28"/>
      <c r="P28"/>
    </row>
    <row r="29" spans="1:22" s="170" customFormat="1" ht="20.100000000000001" customHeight="1" x14ac:dyDescent="0.15">
      <c r="A29" s="330"/>
      <c r="B29" s="324" t="s">
        <v>106</v>
      </c>
      <c r="C29" s="324"/>
      <c r="D29" s="331"/>
      <c r="J29"/>
      <c r="K29"/>
      <c r="L29"/>
      <c r="M29"/>
      <c r="N29"/>
      <c r="O29"/>
      <c r="P29"/>
    </row>
    <row r="30" spans="1:22" s="170" customFormat="1" ht="20.100000000000001" customHeight="1" x14ac:dyDescent="0.15">
      <c r="A30" s="330"/>
      <c r="B30" s="324"/>
      <c r="C30" s="324"/>
      <c r="D30" s="331"/>
      <c r="J30"/>
      <c r="K30"/>
      <c r="L30"/>
      <c r="M30"/>
      <c r="N30"/>
      <c r="O30"/>
      <c r="P30"/>
    </row>
    <row r="31" spans="1:22" s="170" customFormat="1" ht="20.100000000000001" customHeight="1" x14ac:dyDescent="0.15">
      <c r="A31" s="330"/>
      <c r="B31" s="134" t="s">
        <v>69</v>
      </c>
      <c r="C31" s="176" t="s">
        <v>96</v>
      </c>
      <c r="D31" s="186" t="s">
        <v>40</v>
      </c>
      <c r="J31"/>
      <c r="K31"/>
      <c r="L31"/>
      <c r="M31"/>
      <c r="N31"/>
      <c r="O31"/>
      <c r="P31"/>
    </row>
    <row r="32" spans="1:22" s="170" customFormat="1" ht="20.100000000000001" customHeight="1" x14ac:dyDescent="0.15">
      <c r="A32" s="132">
        <v>1</v>
      </c>
      <c r="B32" s="134">
        <f>M24+1</f>
        <v>30</v>
      </c>
      <c r="C32" s="134">
        <f>B32+1</f>
        <v>31</v>
      </c>
      <c r="D32" s="147">
        <f>C32+1</f>
        <v>32</v>
      </c>
      <c r="J32"/>
      <c r="K32"/>
      <c r="L32"/>
      <c r="M32"/>
      <c r="N32"/>
      <c r="O32"/>
      <c r="P32"/>
    </row>
    <row r="33" spans="1:16" s="170" customFormat="1" ht="20.100000000000001" customHeight="1" x14ac:dyDescent="0.15">
      <c r="A33" s="135">
        <v>1</v>
      </c>
      <c r="B33" s="136">
        <v>2451.6999999999998</v>
      </c>
      <c r="C33" s="187">
        <v>11.2</v>
      </c>
      <c r="D33" s="188">
        <v>70.2</v>
      </c>
      <c r="J33"/>
      <c r="K33"/>
      <c r="L33"/>
      <c r="M33"/>
      <c r="N33"/>
      <c r="O33"/>
      <c r="P33"/>
    </row>
    <row r="34" spans="1:16" ht="30" customHeight="1" x14ac:dyDescent="0.15">
      <c r="A34" s="114"/>
      <c r="B34" s="138"/>
      <c r="C34" s="114"/>
      <c r="D34" s="127" t="s">
        <v>107</v>
      </c>
      <c r="E34" s="114"/>
      <c r="F34" s="114"/>
      <c r="G34" s="114"/>
      <c r="H34" s="114"/>
      <c r="I34" s="127"/>
      <c r="J34" s="127" t="s">
        <v>108</v>
      </c>
      <c r="K34" s="114"/>
      <c r="L34" s="127"/>
      <c r="M34" s="114"/>
      <c r="P34"/>
    </row>
    <row r="35" spans="1:16" customFormat="1" ht="20.100000000000001" customHeight="1" x14ac:dyDescent="0.15">
      <c r="E35" s="80"/>
      <c r="F35" s="80"/>
      <c r="G35" s="80"/>
      <c r="H35" s="80"/>
      <c r="I35" s="80"/>
      <c r="J35" s="80"/>
      <c r="K35" s="80"/>
      <c r="L35" s="80"/>
      <c r="M35" s="80"/>
    </row>
    <row r="36" spans="1:16" customFormat="1" ht="19.5" customHeight="1" x14ac:dyDescent="0.15">
      <c r="E36" s="80"/>
      <c r="F36" s="80"/>
      <c r="G36" s="80"/>
      <c r="H36" s="80"/>
      <c r="I36" s="80"/>
      <c r="J36" s="80"/>
      <c r="K36" s="80"/>
      <c r="L36" s="80"/>
      <c r="M36" s="80"/>
    </row>
    <row r="38" spans="1:16" customFormat="1" ht="20.100000000000001" customHeight="1" x14ac:dyDescent="0.15">
      <c r="E38" s="80"/>
      <c r="F38" s="80"/>
      <c r="G38" s="80"/>
      <c r="H38" s="80"/>
      <c r="I38" s="80"/>
      <c r="J38" s="80"/>
      <c r="K38" s="80"/>
      <c r="L38" s="80"/>
      <c r="M38" s="80"/>
    </row>
    <row r="39" spans="1:16" customFormat="1" ht="20.100000000000001" customHeight="1" x14ac:dyDescent="0.15">
      <c r="E39" s="80"/>
      <c r="F39" s="80"/>
      <c r="G39" s="80"/>
      <c r="H39" s="80"/>
      <c r="I39" s="80"/>
      <c r="J39" s="80"/>
      <c r="K39" s="80"/>
      <c r="L39" s="80"/>
      <c r="M39" s="80"/>
    </row>
    <row r="40" spans="1:16" customFormat="1" ht="20.100000000000001" customHeight="1" x14ac:dyDescent="0.15">
      <c r="G40" s="80"/>
      <c r="H40" s="80"/>
      <c r="I40" s="80"/>
      <c r="J40" s="80"/>
      <c r="K40" s="80"/>
      <c r="L40" s="80"/>
      <c r="M40" s="80"/>
    </row>
    <row r="41" spans="1:16" customFormat="1" ht="20.100000000000001" customHeight="1" x14ac:dyDescent="0.15">
      <c r="H41" s="80"/>
      <c r="I41" s="80"/>
      <c r="J41" s="80"/>
      <c r="K41" s="80"/>
      <c r="L41" s="80"/>
    </row>
    <row r="42" spans="1:16" customFormat="1" ht="20.100000000000001" customHeight="1" x14ac:dyDescent="0.15">
      <c r="H42" s="80"/>
      <c r="I42" s="80"/>
      <c r="J42" s="80"/>
      <c r="K42" s="80"/>
    </row>
    <row r="43" spans="1:16" customFormat="1" ht="20.100000000000001" customHeight="1" x14ac:dyDescent="0.15">
      <c r="H43" s="80"/>
      <c r="I43" s="80"/>
      <c r="J43" s="80"/>
      <c r="K43" s="80"/>
    </row>
    <row r="44" spans="1:16" customFormat="1" ht="20.100000000000001" customHeight="1" x14ac:dyDescent="0.15">
      <c r="H44" s="80"/>
      <c r="I44" s="80"/>
      <c r="J44" s="80"/>
      <c r="K44" s="80"/>
    </row>
    <row r="45" spans="1:16" customFormat="1" ht="20.100000000000001" customHeight="1" x14ac:dyDescent="0.15">
      <c r="H45" s="80"/>
      <c r="I45" s="80"/>
      <c r="J45" s="80"/>
      <c r="K45" s="80"/>
    </row>
    <row r="46" spans="1:16" customFormat="1" ht="20.100000000000001" customHeight="1" x14ac:dyDescent="0.15"/>
    <row r="47" spans="1:16" customFormat="1" ht="20.100000000000001" customHeight="1" x14ac:dyDescent="0.15"/>
    <row r="48" spans="1:16" customFormat="1" ht="20.100000000000001" customHeight="1" x14ac:dyDescent="0.15"/>
    <row r="49" customFormat="1" ht="20.100000000000001" customHeight="1" x14ac:dyDescent="0.15"/>
    <row r="50" customFormat="1" ht="20.100000000000001" customHeight="1" x14ac:dyDescent="0.15"/>
    <row r="51" customFormat="1" ht="20.100000000000001" customHeight="1" x14ac:dyDescent="0.15"/>
    <row r="52" customFormat="1" ht="28.5" customHeight="1" x14ac:dyDescent="0.15"/>
    <row r="53" customFormat="1" ht="35.1" customHeight="1" x14ac:dyDescent="0.15"/>
    <row r="54" customFormat="1" ht="30" customHeight="1" x14ac:dyDescent="0.15"/>
    <row r="55" customFormat="1" ht="20.100000000000001" customHeight="1" x14ac:dyDescent="0.15"/>
    <row r="56" customFormat="1" ht="20.100000000000001" customHeight="1" x14ac:dyDescent="0.15"/>
    <row r="57" customFormat="1" ht="20.100000000000001" customHeight="1" x14ac:dyDescent="0.15"/>
    <row r="58" customFormat="1" ht="20.100000000000001" customHeight="1" x14ac:dyDescent="0.15"/>
    <row r="59" customFormat="1" ht="20.100000000000001" customHeight="1" x14ac:dyDescent="0.15"/>
    <row r="60" customFormat="1" ht="20.100000000000001" customHeight="1" x14ac:dyDescent="0.15"/>
    <row r="61" customFormat="1" ht="20.100000000000001" customHeight="1" x14ac:dyDescent="0.15"/>
    <row r="62" customFormat="1" ht="19.5" customHeight="1" x14ac:dyDescent="0.15"/>
    <row r="63" customFormat="1" ht="19.5" customHeight="1" x14ac:dyDescent="0.15"/>
    <row r="64" customFormat="1" ht="20.100000000000001" customHeight="1" x14ac:dyDescent="0.15"/>
    <row r="65" customFormat="1" ht="20.100000000000001" customHeight="1" x14ac:dyDescent="0.15"/>
    <row r="66" customFormat="1" ht="20.100000000000001" customHeight="1" x14ac:dyDescent="0.15"/>
    <row r="67" customFormat="1" ht="20.100000000000001" customHeight="1" x14ac:dyDescent="0.15"/>
    <row r="68" customFormat="1" ht="20.100000000000001" customHeight="1" x14ac:dyDescent="0.15"/>
    <row r="69" customFormat="1" ht="20.100000000000001" customHeight="1" x14ac:dyDescent="0.15"/>
    <row r="70" customFormat="1" ht="19.5" customHeight="1" x14ac:dyDescent="0.15"/>
    <row r="71" customFormat="1" ht="20.100000000000001" customHeight="1" x14ac:dyDescent="0.15"/>
    <row r="72" customFormat="1" ht="20.100000000000001" customHeight="1" x14ac:dyDescent="0.15"/>
    <row r="73" customFormat="1" ht="20.100000000000001" customHeight="1" x14ac:dyDescent="0.15"/>
    <row r="74" customFormat="1" ht="20.100000000000001" customHeight="1" x14ac:dyDescent="0.15"/>
    <row r="75" customFormat="1" ht="20.100000000000001" customHeight="1" x14ac:dyDescent="0.15"/>
    <row r="76" customFormat="1" ht="20.100000000000001" customHeight="1" x14ac:dyDescent="0.15"/>
    <row r="77" customFormat="1" ht="20.100000000000001" customHeight="1" x14ac:dyDescent="0.15"/>
    <row r="78" customFormat="1" ht="20.100000000000001" customHeight="1" x14ac:dyDescent="0.15"/>
    <row r="79" customFormat="1" ht="20.100000000000001" customHeight="1" x14ac:dyDescent="0.15"/>
    <row r="80" customFormat="1" ht="20.100000000000001" customHeight="1" x14ac:dyDescent="0.15"/>
    <row r="81" customFormat="1" ht="20.100000000000001" customHeight="1" x14ac:dyDescent="0.15"/>
    <row r="82" customFormat="1" ht="20.100000000000001" customHeight="1" x14ac:dyDescent="0.15"/>
    <row r="83" customFormat="1" ht="20.100000000000001" customHeight="1" x14ac:dyDescent="0.15"/>
    <row r="84" customFormat="1" ht="20.100000000000001" customHeight="1" x14ac:dyDescent="0.15"/>
    <row r="85" customFormat="1" ht="20.100000000000001" customHeight="1" x14ac:dyDescent="0.15"/>
    <row r="86" customFormat="1" ht="28.5" customHeight="1" x14ac:dyDescent="0.15"/>
    <row r="87" customFormat="1" ht="35.1" customHeight="1" x14ac:dyDescent="0.15"/>
    <row r="88" customFormat="1" ht="30" customHeight="1" x14ac:dyDescent="0.15"/>
    <row r="89" customFormat="1" ht="20.100000000000001" customHeight="1" x14ac:dyDescent="0.15"/>
    <row r="90" customFormat="1" ht="20.100000000000001" customHeight="1" x14ac:dyDescent="0.15"/>
    <row r="91" customFormat="1" ht="20.100000000000001" customHeight="1" x14ac:dyDescent="0.15"/>
    <row r="92" customFormat="1" ht="20.100000000000001" customHeight="1" x14ac:dyDescent="0.15"/>
    <row r="93" customFormat="1" ht="20.100000000000001" customHeight="1" x14ac:dyDescent="0.15"/>
    <row r="94" customFormat="1" ht="20.100000000000001" customHeight="1" x14ac:dyDescent="0.15"/>
    <row r="95" customFormat="1" ht="20.100000000000001" customHeight="1" x14ac:dyDescent="0.15"/>
    <row r="96" customFormat="1" ht="19.5" customHeight="1" x14ac:dyDescent="0.15"/>
    <row r="97" spans="1:14" customFormat="1" ht="19.5" customHeight="1" x14ac:dyDescent="0.15"/>
    <row r="98" spans="1:14" ht="20.100000000000001" customHeight="1" x14ac:dyDescent="0.15"/>
    <row r="99" spans="1:14" ht="20.100000000000001" customHeight="1" x14ac:dyDescent="0.15"/>
    <row r="100" spans="1:14" ht="20.100000000000001" customHeight="1" x14ac:dyDescent="0.15"/>
    <row r="101" spans="1:14" ht="20.100000000000001" customHeight="1" x14ac:dyDescent="0.15"/>
    <row r="102" spans="1:14" ht="20.100000000000001" customHeight="1" x14ac:dyDescent="0.15"/>
    <row r="103" spans="1:14" ht="20.100000000000001" customHeight="1" x14ac:dyDescent="0.15"/>
    <row r="104" spans="1:14" s="170" customFormat="1" ht="19.5" customHeight="1" x14ac:dyDescent="0.15">
      <c r="A104" s="80"/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171"/>
    </row>
    <row r="105" spans="1:14" ht="20.100000000000001" customHeight="1" x14ac:dyDescent="0.15"/>
    <row r="106" spans="1:14" ht="20.100000000000001" customHeight="1" x14ac:dyDescent="0.15"/>
    <row r="107" spans="1:14" ht="20.100000000000001" customHeight="1" x14ac:dyDescent="0.15"/>
    <row r="108" spans="1:14" ht="20.100000000000001" customHeight="1" x14ac:dyDescent="0.15"/>
    <row r="109" spans="1:14" ht="20.100000000000001" customHeight="1" x14ac:dyDescent="0.15"/>
    <row r="110" spans="1:14" ht="20.100000000000001" customHeight="1" x14ac:dyDescent="0.15"/>
    <row r="111" spans="1:14" ht="20.100000000000001" customHeight="1" x14ac:dyDescent="0.15"/>
    <row r="112" spans="1:14" s="170" customFormat="1" ht="20.100000000000001" customHeight="1" x14ac:dyDescent="0.15">
      <c r="A112" s="80"/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171"/>
    </row>
    <row r="113" spans="1:13" s="170" customFormat="1" ht="20.100000000000001" customHeight="1" x14ac:dyDescent="0.15">
      <c r="A113" s="80"/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</row>
    <row r="114" spans="1:13" s="170" customFormat="1" ht="20.100000000000001" customHeight="1" x14ac:dyDescent="0.15">
      <c r="A114" s="80"/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</row>
    <row r="115" spans="1:13" s="170" customFormat="1" ht="20.100000000000001" customHeight="1" x14ac:dyDescent="0.15">
      <c r="A115" s="80"/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</row>
    <row r="116" spans="1:13" s="170" customFormat="1" ht="20.100000000000001" customHeight="1" x14ac:dyDescent="0.15">
      <c r="A116" s="80"/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</row>
    <row r="117" spans="1:13" s="170" customFormat="1" ht="20.100000000000001" customHeight="1" x14ac:dyDescent="0.15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</row>
    <row r="118" spans="1:13" s="170" customFormat="1" ht="20.100000000000001" customHeight="1" x14ac:dyDescent="0.15">
      <c r="A118" s="80"/>
      <c r="B118" s="80"/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</row>
    <row r="119" spans="1:13" s="170" customFormat="1" ht="20.100000000000001" customHeight="1" x14ac:dyDescent="0.15">
      <c r="A119" s="80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</row>
    <row r="120" spans="1:13" ht="28.5" customHeight="1" x14ac:dyDescent="0.15"/>
  </sheetData>
  <mergeCells count="57">
    <mergeCell ref="I21:I22"/>
    <mergeCell ref="J4:J6"/>
    <mergeCell ref="J21:J22"/>
    <mergeCell ref="K4:K6"/>
    <mergeCell ref="K12:K14"/>
    <mergeCell ref="K21:K22"/>
    <mergeCell ref="F21:F22"/>
    <mergeCell ref="G3:G7"/>
    <mergeCell ref="G13:G14"/>
    <mergeCell ref="G21:G22"/>
    <mergeCell ref="H5:H6"/>
    <mergeCell ref="H13:H14"/>
    <mergeCell ref="H21:H22"/>
    <mergeCell ref="D21:D22"/>
    <mergeCell ref="D28:D30"/>
    <mergeCell ref="E3:E6"/>
    <mergeCell ref="E12:E14"/>
    <mergeCell ref="E21:E22"/>
    <mergeCell ref="B27:C27"/>
    <mergeCell ref="A3:A7"/>
    <mergeCell ref="A11:A15"/>
    <mergeCell ref="A19:A23"/>
    <mergeCell ref="A27:A31"/>
    <mergeCell ref="B3:B7"/>
    <mergeCell ref="B13:B14"/>
    <mergeCell ref="B20:B22"/>
    <mergeCell ref="B29:B30"/>
    <mergeCell ref="C3:C7"/>
    <mergeCell ref="C13:C14"/>
    <mergeCell ref="C21:C22"/>
    <mergeCell ref="C28:C30"/>
    <mergeCell ref="F12:H12"/>
    <mergeCell ref="B19:D19"/>
    <mergeCell ref="E19:I19"/>
    <mergeCell ref="J19:M19"/>
    <mergeCell ref="C20:D20"/>
    <mergeCell ref="F20:I20"/>
    <mergeCell ref="J20:K20"/>
    <mergeCell ref="D13:D14"/>
    <mergeCell ref="F13:F14"/>
    <mergeCell ref="I13:I14"/>
    <mergeCell ref="L12:L14"/>
    <mergeCell ref="L20:L22"/>
    <mergeCell ref="M12:M14"/>
    <mergeCell ref="M20:M22"/>
    <mergeCell ref="A1:M1"/>
    <mergeCell ref="L2:M2"/>
    <mergeCell ref="H3:I3"/>
    <mergeCell ref="J3:M3"/>
    <mergeCell ref="B11:D11"/>
    <mergeCell ref="E11:J11"/>
    <mergeCell ref="K11:M11"/>
    <mergeCell ref="D3:D6"/>
    <mergeCell ref="F3:F6"/>
    <mergeCell ref="I5:I6"/>
    <mergeCell ref="L4:L6"/>
    <mergeCell ref="M4:M6"/>
  </mergeCells>
  <phoneticPr fontId="27" type="noConversion"/>
  <pageMargins left="0.97" right="0.7" top="0.47" bottom="0.75" header="0.3" footer="0.3"/>
  <pageSetup paperSize="9" scale="67" orientation="landscape" r:id="rId1"/>
  <rowBreaks count="1" manualBreakCount="1">
    <brk id="8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pageSetUpPr fitToPage="1"/>
  </sheetPr>
  <dimension ref="A1:AB120"/>
  <sheetViews>
    <sheetView view="pageBreakPreview" zoomScaleNormal="85" workbookViewId="0">
      <selection activeCell="A2" sqref="A2"/>
    </sheetView>
  </sheetViews>
  <sheetFormatPr defaultColWidth="15.5" defaultRowHeight="14.25" x14ac:dyDescent="0.15"/>
  <cols>
    <col min="1" max="1" width="5.125" style="114" customWidth="1"/>
    <col min="2" max="2" width="16.625" style="114" customWidth="1"/>
    <col min="3" max="3" width="14.625" style="114" customWidth="1"/>
    <col min="4" max="4" width="16.75" style="114" customWidth="1"/>
    <col min="5" max="11" width="12.5" style="114" customWidth="1"/>
    <col min="12" max="14" width="12.625" style="114" customWidth="1"/>
    <col min="15" max="15" width="16.875" style="114" customWidth="1"/>
    <col min="16" max="16" width="17.625" style="115" customWidth="1"/>
    <col min="17" max="238" width="9" style="114" customWidth="1"/>
    <col min="239" max="239" width="4.25" style="114" customWidth="1"/>
    <col min="240" max="240" width="17.375" style="114" customWidth="1"/>
    <col min="241" max="241" width="14.625" style="114" customWidth="1"/>
    <col min="242" max="242" width="13.25" style="114" customWidth="1"/>
    <col min="243" max="243" width="13.875" style="114" customWidth="1"/>
    <col min="244" max="244" width="12.875" style="114" customWidth="1"/>
    <col min="245" max="246" width="16.875" style="114" customWidth="1"/>
    <col min="247" max="248" width="17.125" style="114" customWidth="1"/>
    <col min="249" max="249" width="13.625" style="114" customWidth="1"/>
    <col min="250" max="250" width="15.125" style="114" customWidth="1"/>
    <col min="251" max="251" width="16.625" style="114" customWidth="1"/>
    <col min="252" max="252" width="17.625" style="114" customWidth="1"/>
    <col min="253" max="16384" width="15.5" style="114"/>
  </cols>
  <sheetData>
    <row r="1" spans="1:28" ht="53.25" customHeight="1" x14ac:dyDescent="0.15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</row>
    <row r="2" spans="1:28" ht="30" customHeight="1" x14ac:dyDescent="0.15">
      <c r="A2" s="116" t="s">
        <v>109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336" t="s">
        <v>110</v>
      </c>
      <c r="N2" s="336"/>
      <c r="O2" s="336"/>
      <c r="R2" s="139"/>
    </row>
    <row r="3" spans="1:28" s="112" customFormat="1" ht="20.100000000000001" customHeight="1" x14ac:dyDescent="0.15">
      <c r="A3" s="327" t="s">
        <v>2</v>
      </c>
      <c r="B3" s="315" t="s">
        <v>26</v>
      </c>
      <c r="C3" s="315" t="s">
        <v>4</v>
      </c>
      <c r="D3" s="315" t="s">
        <v>5</v>
      </c>
      <c r="E3" s="315" t="s">
        <v>27</v>
      </c>
      <c r="F3" s="315" t="s">
        <v>28</v>
      </c>
      <c r="G3" s="315" t="s">
        <v>8</v>
      </c>
      <c r="H3" s="337" t="s">
        <v>111</v>
      </c>
      <c r="I3" s="338"/>
      <c r="J3" s="338"/>
      <c r="K3" s="339"/>
      <c r="L3" s="315" t="s">
        <v>112</v>
      </c>
      <c r="M3" s="315"/>
      <c r="N3" s="340" t="s">
        <v>113</v>
      </c>
      <c r="O3" s="316"/>
      <c r="Q3" s="315" t="s">
        <v>29</v>
      </c>
      <c r="R3" s="315"/>
      <c r="S3" s="315" t="s">
        <v>30</v>
      </c>
      <c r="T3" s="315"/>
      <c r="U3" s="315"/>
      <c r="V3" s="316"/>
    </row>
    <row r="4" spans="1:28" s="112" customFormat="1" ht="20.100000000000001" customHeight="1" x14ac:dyDescent="0.15">
      <c r="A4" s="328"/>
      <c r="B4" s="322"/>
      <c r="C4" s="322"/>
      <c r="D4" s="322"/>
      <c r="E4" s="322"/>
      <c r="F4" s="322"/>
      <c r="G4" s="322"/>
      <c r="H4" s="348" t="s">
        <v>114</v>
      </c>
      <c r="I4" s="351" t="s">
        <v>115</v>
      </c>
      <c r="J4" s="341" t="s">
        <v>52</v>
      </c>
      <c r="K4" s="341"/>
      <c r="L4" s="319" t="s">
        <v>116</v>
      </c>
      <c r="M4" s="319" t="s">
        <v>117</v>
      </c>
      <c r="N4" s="319" t="s">
        <v>118</v>
      </c>
      <c r="O4" s="352" t="s">
        <v>119</v>
      </c>
      <c r="Q4" s="120" t="s">
        <v>31</v>
      </c>
      <c r="R4" s="120" t="s">
        <v>32</v>
      </c>
      <c r="S4" s="319" t="s">
        <v>33</v>
      </c>
      <c r="T4" s="322" t="s">
        <v>34</v>
      </c>
      <c r="U4" s="319" t="s">
        <v>35</v>
      </c>
      <c r="V4" s="333" t="s">
        <v>36</v>
      </c>
    </row>
    <row r="5" spans="1:28" s="112" customFormat="1" ht="20.100000000000001" customHeight="1" x14ac:dyDescent="0.15">
      <c r="A5" s="328"/>
      <c r="B5" s="322"/>
      <c r="C5" s="322"/>
      <c r="D5" s="322"/>
      <c r="E5" s="322"/>
      <c r="F5" s="322"/>
      <c r="G5" s="322"/>
      <c r="H5" s="349"/>
      <c r="I5" s="351"/>
      <c r="J5" s="341" t="s">
        <v>15</v>
      </c>
      <c r="K5" s="341" t="s">
        <v>120</v>
      </c>
      <c r="L5" s="319"/>
      <c r="M5" s="319"/>
      <c r="N5" s="319"/>
      <c r="O5" s="352"/>
      <c r="Q5" s="319" t="s">
        <v>37</v>
      </c>
      <c r="R5" s="319" t="s">
        <v>38</v>
      </c>
      <c r="S5" s="319"/>
      <c r="T5" s="322"/>
      <c r="U5" s="319"/>
      <c r="V5" s="333"/>
    </row>
    <row r="6" spans="1:28" s="112" customFormat="1" ht="20.100000000000001" customHeight="1" x14ac:dyDescent="0.15">
      <c r="A6" s="328"/>
      <c r="B6" s="322"/>
      <c r="C6" s="322"/>
      <c r="D6" s="322"/>
      <c r="E6" s="322"/>
      <c r="F6" s="322"/>
      <c r="G6" s="322"/>
      <c r="H6" s="350"/>
      <c r="I6" s="351"/>
      <c r="J6" s="341"/>
      <c r="K6" s="341"/>
      <c r="L6" s="319"/>
      <c r="M6" s="319"/>
      <c r="N6" s="319"/>
      <c r="O6" s="352"/>
      <c r="Q6" s="319"/>
      <c r="R6" s="319"/>
      <c r="S6" s="319"/>
      <c r="T6" s="322"/>
      <c r="U6" s="319"/>
      <c r="V6" s="333"/>
    </row>
    <row r="7" spans="1:28" s="112" customFormat="1" ht="20.100000000000001" customHeight="1" x14ac:dyDescent="0.15">
      <c r="A7" s="328"/>
      <c r="B7" s="322"/>
      <c r="C7" s="322"/>
      <c r="D7" s="119" t="s">
        <v>16</v>
      </c>
      <c r="E7" s="119" t="s">
        <v>17</v>
      </c>
      <c r="F7" s="119" t="s">
        <v>17</v>
      </c>
      <c r="G7" s="322"/>
      <c r="H7" s="150" t="s">
        <v>97</v>
      </c>
      <c r="I7" s="150" t="s">
        <v>97</v>
      </c>
      <c r="J7" s="150" t="s">
        <v>19</v>
      </c>
      <c r="K7" s="150" t="s">
        <v>19</v>
      </c>
      <c r="L7" s="150" t="s">
        <v>39</v>
      </c>
      <c r="M7" s="150" t="s">
        <v>97</v>
      </c>
      <c r="N7" s="150" t="s">
        <v>19</v>
      </c>
      <c r="O7" s="159" t="s">
        <v>121</v>
      </c>
      <c r="Q7" s="119" t="s">
        <v>39</v>
      </c>
      <c r="R7" s="119" t="s">
        <v>39</v>
      </c>
      <c r="S7" s="119" t="s">
        <v>122</v>
      </c>
      <c r="T7" s="119" t="s">
        <v>122</v>
      </c>
      <c r="U7" s="119" t="s">
        <v>123</v>
      </c>
      <c r="V7" s="141" t="s">
        <v>122</v>
      </c>
    </row>
    <row r="8" spans="1:28" s="112" customFormat="1" ht="20.100000000000001" customHeight="1" x14ac:dyDescent="0.15">
      <c r="A8" s="118">
        <v>1</v>
      </c>
      <c r="B8" s="119">
        <v>1</v>
      </c>
      <c r="C8" s="119">
        <f>B8+1</f>
        <v>2</v>
      </c>
      <c r="D8" s="119">
        <f t="shared" ref="D8" si="0">C8+1</f>
        <v>3</v>
      </c>
      <c r="E8" s="119">
        <f t="shared" ref="E8" si="1">D8+1</f>
        <v>4</v>
      </c>
      <c r="F8" s="119">
        <f t="shared" ref="F8" si="2">E8+1</f>
        <v>5</v>
      </c>
      <c r="G8" s="119">
        <f t="shared" ref="G8:I8" si="3">F8+1</f>
        <v>6</v>
      </c>
      <c r="H8" s="119">
        <f t="shared" si="3"/>
        <v>7</v>
      </c>
      <c r="I8" s="119">
        <f t="shared" si="3"/>
        <v>8</v>
      </c>
      <c r="J8" s="119">
        <f t="shared" ref="J8:O8" si="4">I8+1</f>
        <v>9</v>
      </c>
      <c r="K8" s="119">
        <f t="shared" si="4"/>
        <v>10</v>
      </c>
      <c r="L8" s="119">
        <f t="shared" si="4"/>
        <v>11</v>
      </c>
      <c r="M8" s="119">
        <f t="shared" si="4"/>
        <v>12</v>
      </c>
      <c r="N8" s="119">
        <f t="shared" si="4"/>
        <v>13</v>
      </c>
      <c r="O8" s="141">
        <f t="shared" si="4"/>
        <v>14</v>
      </c>
      <c r="Q8" s="119">
        <f>G8+1</f>
        <v>7</v>
      </c>
      <c r="R8" s="119">
        <f t="shared" ref="R8" si="5">Q8+1</f>
        <v>8</v>
      </c>
      <c r="S8" s="119">
        <f t="shared" ref="S8" si="6">R8+1</f>
        <v>9</v>
      </c>
      <c r="T8" s="119">
        <f t="shared" ref="T8" si="7">S8+1</f>
        <v>10</v>
      </c>
      <c r="U8" s="119">
        <f t="shared" ref="U8" si="8">T8+1</f>
        <v>11</v>
      </c>
      <c r="V8" s="141">
        <f t="shared" ref="V8" si="9">U8+1</f>
        <v>12</v>
      </c>
    </row>
    <row r="9" spans="1:28" s="112" customFormat="1" ht="20.100000000000001" customHeight="1" x14ac:dyDescent="0.15">
      <c r="A9" s="121">
        <v>1</v>
      </c>
      <c r="B9" s="122" t="s">
        <v>124</v>
      </c>
      <c r="C9" s="123" t="s">
        <v>125</v>
      </c>
      <c r="D9" s="124" t="s">
        <v>126</v>
      </c>
      <c r="E9" s="125">
        <v>45.5</v>
      </c>
      <c r="F9" s="125">
        <v>11.8</v>
      </c>
      <c r="G9" s="122" t="s">
        <v>127</v>
      </c>
      <c r="H9" s="122">
        <f>0.87+0.495</f>
        <v>1.365</v>
      </c>
      <c r="I9" s="160">
        <f>18.7+10.6</f>
        <v>29.3</v>
      </c>
      <c r="J9" s="160">
        <f>2378.5+1472.3</f>
        <v>3850.8</v>
      </c>
      <c r="K9" s="161">
        <f>643.26+362.9</f>
        <v>1006.16</v>
      </c>
      <c r="L9" s="122">
        <v>77.2</v>
      </c>
      <c r="M9" s="122">
        <v>0.19</v>
      </c>
      <c r="N9" s="122">
        <v>62.64</v>
      </c>
      <c r="O9" s="162">
        <v>58</v>
      </c>
      <c r="Q9" s="126">
        <v>4.78</v>
      </c>
      <c r="R9" s="126">
        <v>1.95</v>
      </c>
      <c r="S9" s="142">
        <v>0.1</v>
      </c>
      <c r="T9" s="143">
        <v>0.04</v>
      </c>
      <c r="U9" s="122" t="s">
        <v>128</v>
      </c>
      <c r="V9" s="144">
        <f>S9</f>
        <v>0.1</v>
      </c>
    </row>
    <row r="10" spans="1:28" s="112" customFormat="1" ht="20.100000000000001" customHeight="1" x14ac:dyDescent="0.15">
      <c r="A10" s="127"/>
      <c r="B10" s="127"/>
      <c r="C10" s="128"/>
      <c r="D10" s="129"/>
      <c r="E10" s="130"/>
      <c r="F10" s="130"/>
      <c r="G10" s="127"/>
      <c r="P10" s="115"/>
      <c r="Q10" s="131"/>
      <c r="R10" s="127"/>
      <c r="S10" s="145"/>
      <c r="T10" s="146"/>
      <c r="V10" s="127"/>
      <c r="W10" s="139"/>
      <c r="X10" s="139"/>
    </row>
    <row r="11" spans="1:28" s="112" customFormat="1" ht="20.100000000000001" customHeight="1" x14ac:dyDescent="0.15">
      <c r="A11" s="346" t="s">
        <v>2</v>
      </c>
      <c r="B11" s="340" t="s">
        <v>113</v>
      </c>
      <c r="C11" s="340"/>
      <c r="D11" s="340"/>
      <c r="E11" s="340"/>
      <c r="F11" s="340"/>
      <c r="G11" s="340"/>
      <c r="H11" s="340" t="s">
        <v>129</v>
      </c>
      <c r="I11" s="340"/>
      <c r="J11" s="340" t="s">
        <v>130</v>
      </c>
      <c r="K11" s="342"/>
      <c r="L11" s="163"/>
      <c r="M11" s="163"/>
      <c r="N11" s="164"/>
      <c r="O11" s="164"/>
      <c r="Q11" s="343" t="s">
        <v>131</v>
      </c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5"/>
    </row>
    <row r="12" spans="1:28" s="112" customFormat="1" ht="20.100000000000001" customHeight="1" x14ac:dyDescent="0.15">
      <c r="A12" s="347"/>
      <c r="B12" s="319" t="s">
        <v>132</v>
      </c>
      <c r="C12" s="319" t="s">
        <v>133</v>
      </c>
      <c r="D12" s="319" t="s">
        <v>134</v>
      </c>
      <c r="E12" s="319" t="s">
        <v>135</v>
      </c>
      <c r="F12" s="322" t="s">
        <v>136</v>
      </c>
      <c r="G12" s="322" t="s">
        <v>137</v>
      </c>
      <c r="H12" s="319" t="s">
        <v>138</v>
      </c>
      <c r="I12" s="319" t="s">
        <v>139</v>
      </c>
      <c r="J12" s="319" t="s">
        <v>140</v>
      </c>
      <c r="K12" s="352" t="s">
        <v>141</v>
      </c>
      <c r="L12" s="164"/>
      <c r="M12" s="164"/>
      <c r="N12" s="164"/>
      <c r="O12" s="165"/>
      <c r="Q12" s="324" t="s">
        <v>142</v>
      </c>
      <c r="R12" s="324" t="s">
        <v>143</v>
      </c>
      <c r="S12" s="324" t="s">
        <v>144</v>
      </c>
      <c r="T12" s="324" t="s">
        <v>145</v>
      </c>
      <c r="U12" s="324" t="s">
        <v>146</v>
      </c>
      <c r="V12" s="324" t="s">
        <v>147</v>
      </c>
      <c r="W12" s="324" t="s">
        <v>148</v>
      </c>
      <c r="X12" s="324" t="s">
        <v>149</v>
      </c>
      <c r="Y12" s="324" t="s">
        <v>150</v>
      </c>
      <c r="Z12" s="324" t="s">
        <v>151</v>
      </c>
      <c r="AA12" s="324" t="s">
        <v>152</v>
      </c>
      <c r="AB12" s="334" t="s">
        <v>65</v>
      </c>
    </row>
    <row r="13" spans="1:28" s="112" customFormat="1" ht="20.100000000000001" customHeight="1" x14ac:dyDescent="0.15">
      <c r="A13" s="347"/>
      <c r="B13" s="319"/>
      <c r="C13" s="319"/>
      <c r="D13" s="319"/>
      <c r="E13" s="319"/>
      <c r="F13" s="322"/>
      <c r="G13" s="322"/>
      <c r="H13" s="319"/>
      <c r="I13" s="319"/>
      <c r="J13" s="319"/>
      <c r="K13" s="352"/>
      <c r="L13" s="164"/>
      <c r="M13" s="164"/>
      <c r="N13" s="164"/>
      <c r="O13" s="165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34"/>
    </row>
    <row r="14" spans="1:28" s="112" customFormat="1" ht="20.100000000000001" customHeight="1" x14ac:dyDescent="0.15">
      <c r="A14" s="347"/>
      <c r="B14" s="319"/>
      <c r="C14" s="319"/>
      <c r="D14" s="319"/>
      <c r="E14" s="319"/>
      <c r="F14" s="322"/>
      <c r="G14" s="322"/>
      <c r="H14" s="319"/>
      <c r="I14" s="319"/>
      <c r="J14" s="319"/>
      <c r="K14" s="352"/>
      <c r="L14" s="164"/>
      <c r="M14" s="164"/>
      <c r="N14" s="164"/>
      <c r="O14" s="165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34"/>
    </row>
    <row r="15" spans="1:28" s="112" customFormat="1" ht="20.100000000000001" customHeight="1" x14ac:dyDescent="0.15">
      <c r="A15" s="347"/>
      <c r="B15" s="120" t="s">
        <v>17</v>
      </c>
      <c r="C15" s="120" t="s">
        <v>121</v>
      </c>
      <c r="D15" s="120" t="s">
        <v>121</v>
      </c>
      <c r="E15" s="152" t="s">
        <v>97</v>
      </c>
      <c r="F15" s="152" t="s">
        <v>97</v>
      </c>
      <c r="G15" s="119" t="s">
        <v>153</v>
      </c>
      <c r="H15" s="152" t="s">
        <v>97</v>
      </c>
      <c r="I15" s="152" t="s">
        <v>97</v>
      </c>
      <c r="J15" s="120" t="s">
        <v>121</v>
      </c>
      <c r="K15" s="140" t="s">
        <v>121</v>
      </c>
      <c r="L15" s="166"/>
      <c r="M15" s="166"/>
      <c r="N15" s="166"/>
      <c r="O15" s="166"/>
      <c r="Q15" s="134" t="s">
        <v>154</v>
      </c>
      <c r="R15" s="134" t="s">
        <v>154</v>
      </c>
      <c r="S15" s="134" t="s">
        <v>154</v>
      </c>
      <c r="T15" s="134" t="s">
        <v>155</v>
      </c>
      <c r="U15" s="134" t="s">
        <v>156</v>
      </c>
      <c r="V15" s="134" t="s">
        <v>155</v>
      </c>
      <c r="W15" s="134" t="s">
        <v>122</v>
      </c>
      <c r="X15" s="134" t="s">
        <v>157</v>
      </c>
      <c r="Y15" s="134" t="s">
        <v>158</v>
      </c>
      <c r="Z15" s="134" t="s">
        <v>158</v>
      </c>
      <c r="AA15" s="134" t="s">
        <v>159</v>
      </c>
      <c r="AB15" s="147" t="s">
        <v>122</v>
      </c>
    </row>
    <row r="16" spans="1:28" s="112" customFormat="1" ht="20.100000000000001" customHeight="1" x14ac:dyDescent="0.15">
      <c r="A16" s="151">
        <v>1</v>
      </c>
      <c r="B16" s="120">
        <f>O8+1</f>
        <v>15</v>
      </c>
      <c r="C16" s="120">
        <f t="shared" ref="C16:K16" si="10">B16+1</f>
        <v>16</v>
      </c>
      <c r="D16" s="120">
        <f t="shared" si="10"/>
        <v>17</v>
      </c>
      <c r="E16" s="120">
        <f t="shared" si="10"/>
        <v>18</v>
      </c>
      <c r="F16" s="120">
        <f t="shared" si="10"/>
        <v>19</v>
      </c>
      <c r="G16" s="120">
        <f t="shared" si="10"/>
        <v>20</v>
      </c>
      <c r="H16" s="120">
        <f t="shared" si="10"/>
        <v>21</v>
      </c>
      <c r="I16" s="120">
        <f t="shared" si="10"/>
        <v>22</v>
      </c>
      <c r="J16" s="120">
        <f t="shared" si="10"/>
        <v>23</v>
      </c>
      <c r="K16" s="140">
        <f t="shared" si="10"/>
        <v>24</v>
      </c>
      <c r="L16" s="163"/>
      <c r="M16" s="163"/>
      <c r="N16" s="163"/>
      <c r="O16" s="163"/>
      <c r="Q16" s="134" t="e">
        <f>#REF!+1</f>
        <v>#REF!</v>
      </c>
      <c r="R16" s="134" t="e">
        <f t="shared" ref="R16:AB16" si="11">Q16+1</f>
        <v>#REF!</v>
      </c>
      <c r="S16" s="134" t="e">
        <f t="shared" si="11"/>
        <v>#REF!</v>
      </c>
      <c r="T16" s="134" t="e">
        <f t="shared" si="11"/>
        <v>#REF!</v>
      </c>
      <c r="U16" s="134" t="e">
        <f t="shared" si="11"/>
        <v>#REF!</v>
      </c>
      <c r="V16" s="134" t="e">
        <f t="shared" si="11"/>
        <v>#REF!</v>
      </c>
      <c r="W16" s="134" t="e">
        <f t="shared" si="11"/>
        <v>#REF!</v>
      </c>
      <c r="X16" s="134" t="e">
        <f t="shared" si="11"/>
        <v>#REF!</v>
      </c>
      <c r="Y16" s="134" t="e">
        <f t="shared" si="11"/>
        <v>#REF!</v>
      </c>
      <c r="Z16" s="134" t="e">
        <f t="shared" si="11"/>
        <v>#REF!</v>
      </c>
      <c r="AA16" s="134" t="e">
        <f t="shared" si="11"/>
        <v>#REF!</v>
      </c>
      <c r="AB16" s="147" t="e">
        <f t="shared" si="11"/>
        <v>#REF!</v>
      </c>
    </row>
    <row r="17" spans="1:28" s="112" customFormat="1" ht="20.100000000000001" customHeight="1" x14ac:dyDescent="0.15">
      <c r="A17" s="153">
        <v>1</v>
      </c>
      <c r="B17" s="123">
        <v>58</v>
      </c>
      <c r="C17" s="123">
        <v>12</v>
      </c>
      <c r="D17" s="154" t="s">
        <v>160</v>
      </c>
      <c r="E17" s="155">
        <v>0.57999999999999996</v>
      </c>
      <c r="F17" s="122">
        <v>0.2</v>
      </c>
      <c r="G17" s="122">
        <v>4</v>
      </c>
      <c r="H17" s="155">
        <f>0.15*2*30*0.4+0.14*2*58*0.2</f>
        <v>6.8479999999999999</v>
      </c>
      <c r="I17" s="155">
        <f>0.3*2*45.5</f>
        <v>27.3</v>
      </c>
      <c r="J17" s="142">
        <v>2</v>
      </c>
      <c r="K17" s="167">
        <v>2</v>
      </c>
      <c r="L17" s="163"/>
      <c r="M17" s="163"/>
      <c r="N17" s="163"/>
      <c r="O17" s="168"/>
      <c r="Q17" s="136">
        <f>钢板!H22</f>
        <v>1043.3592000000001</v>
      </c>
      <c r="R17" s="136">
        <f>钢板!H23</f>
        <v>1707.1300799999999</v>
      </c>
      <c r="S17" s="136">
        <f>钢板!F8+钢板!F9</f>
        <v>131.41512</v>
      </c>
      <c r="T17" s="136">
        <f>钢板!D10</f>
        <v>12.7093130800975</v>
      </c>
      <c r="U17" s="137">
        <f>钢板!D11</f>
        <v>448.03199999999998</v>
      </c>
      <c r="V17" s="143">
        <f>钢板!D12</f>
        <v>158.57640000000001</v>
      </c>
      <c r="W17" s="137">
        <f>钢板!D13</f>
        <v>45.025199999999998</v>
      </c>
      <c r="X17" s="137">
        <f>钢板!D14</f>
        <v>591</v>
      </c>
      <c r="Y17" s="137">
        <f>钢板!D15</f>
        <v>264</v>
      </c>
      <c r="Z17" s="137">
        <f>钢板!D16</f>
        <v>855</v>
      </c>
      <c r="AA17" s="137">
        <f>钢板!D17</f>
        <v>855</v>
      </c>
      <c r="AB17" s="169">
        <f>钢板!D18</f>
        <v>55.782671999999998</v>
      </c>
    </row>
    <row r="18" spans="1:28" ht="30" customHeight="1" x14ac:dyDescent="0.15">
      <c r="B18" s="138"/>
      <c r="D18" s="127" t="s">
        <v>107</v>
      </c>
      <c r="J18" s="127"/>
      <c r="K18" s="127" t="s">
        <v>108</v>
      </c>
      <c r="M18" s="127"/>
      <c r="N18" s="112"/>
    </row>
    <row r="19" spans="1:28" s="112" customFormat="1" ht="20.100000000000001" customHeight="1" x14ac:dyDescent="0.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28" s="112" customFormat="1" ht="20.100000000000001" customHeight="1" x14ac:dyDescent="0.15">
      <c r="A20"/>
      <c r="B20"/>
      <c r="C20"/>
      <c r="D20"/>
      <c r="E20"/>
      <c r="F20"/>
      <c r="G20" s="156"/>
      <c r="H20"/>
      <c r="I20"/>
      <c r="J20"/>
      <c r="K20"/>
      <c r="L20"/>
      <c r="M20"/>
      <c r="N20"/>
      <c r="O20"/>
    </row>
    <row r="21" spans="1:28" s="112" customFormat="1" ht="20.100000000000001" customHeight="1" x14ac:dyDescent="0.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28" s="112" customFormat="1" ht="20.100000000000001" customHeight="1" x14ac:dyDescent="0.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28" s="112" customFormat="1" ht="20.100000000000001" customHeight="1" x14ac:dyDescent="0.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28" s="112" customFormat="1" ht="20.100000000000001" customHeight="1" x14ac:dyDescent="0.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28" s="112" customFormat="1" ht="20.100000000000001" customHeight="1" x14ac:dyDescent="0.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28" s="112" customFormat="1" ht="20.100000000000001" customHeight="1" x14ac:dyDescent="0.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 s="113"/>
      <c r="Q26" s="113"/>
      <c r="X26" s="139"/>
    </row>
    <row r="27" spans="1:28" s="112" customFormat="1" ht="20.100000000000001" customHeight="1" x14ac:dyDescent="0.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 s="149"/>
      <c r="U27" s="113"/>
      <c r="V27" s="113"/>
    </row>
    <row r="28" spans="1:28" s="112" customFormat="1" ht="20.100000000000001" customHeight="1" x14ac:dyDescent="0.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 s="149"/>
    </row>
    <row r="29" spans="1:28" s="112" customFormat="1" ht="20.100000000000001" customHeight="1" x14ac:dyDescent="0.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 s="149"/>
    </row>
    <row r="30" spans="1:28" s="112" customFormat="1" ht="20.100000000000001" customHeight="1" x14ac:dyDescent="0.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 s="149"/>
    </row>
    <row r="31" spans="1:28" s="112" customFormat="1" ht="20.100000000000001" customHeight="1" x14ac:dyDescent="0.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 s="149"/>
    </row>
    <row r="32" spans="1:28" s="112" customFormat="1" ht="20.100000000000001" customHeight="1" x14ac:dyDescent="0.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 s="149"/>
    </row>
    <row r="33" spans="1:18" s="112" customFormat="1" ht="20.100000000000001" customHeight="1" x14ac:dyDescent="0.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 s="149"/>
    </row>
    <row r="35" spans="1:18" customFormat="1" ht="53.25" customHeight="1" x14ac:dyDescent="0.15"/>
    <row r="36" spans="1:18" customFormat="1" ht="30" customHeight="1" x14ac:dyDescent="0.15"/>
    <row r="37" spans="1:18" customFormat="1" ht="20.100000000000001" customHeight="1" x14ac:dyDescent="0.15"/>
    <row r="38" spans="1:18" customFormat="1" ht="20.100000000000001" customHeight="1" x14ac:dyDescent="0.15"/>
    <row r="39" spans="1:18" customFormat="1" ht="20.100000000000001" customHeight="1" x14ac:dyDescent="0.15"/>
    <row r="40" spans="1:18" customFormat="1" ht="20.100000000000001" customHeight="1" x14ac:dyDescent="0.15">
      <c r="A40" s="329" t="s">
        <v>2</v>
      </c>
      <c r="B40" s="315" t="s">
        <v>161</v>
      </c>
      <c r="C40" s="316"/>
    </row>
    <row r="41" spans="1:18" customFormat="1" ht="20.100000000000001" customHeight="1" x14ac:dyDescent="0.15">
      <c r="A41" s="330"/>
      <c r="B41" s="120" t="s">
        <v>31</v>
      </c>
      <c r="C41" s="140" t="s">
        <v>32</v>
      </c>
    </row>
    <row r="42" spans="1:18" customFormat="1" ht="20.100000000000001" customHeight="1" x14ac:dyDescent="0.15">
      <c r="A42" s="330"/>
      <c r="B42" s="319" t="s">
        <v>37</v>
      </c>
      <c r="C42" s="333" t="s">
        <v>38</v>
      </c>
    </row>
    <row r="43" spans="1:18" customFormat="1" ht="20.100000000000001" customHeight="1" x14ac:dyDescent="0.15">
      <c r="A43" s="330"/>
      <c r="B43" s="319"/>
      <c r="C43" s="333"/>
    </row>
    <row r="44" spans="1:18" customFormat="1" ht="30" customHeight="1" x14ac:dyDescent="0.15">
      <c r="A44" s="330"/>
      <c r="B44" s="119" t="s">
        <v>39</v>
      </c>
      <c r="C44" s="141" t="s">
        <v>39</v>
      </c>
    </row>
    <row r="45" spans="1:18" s="112" customFormat="1" ht="20.100000000000001" customHeight="1" x14ac:dyDescent="0.15">
      <c r="A45" s="132">
        <v>1</v>
      </c>
      <c r="B45" s="119">
        <f>O37+1</f>
        <v>1</v>
      </c>
      <c r="C45" s="141">
        <f>B45+1</f>
        <v>2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</row>
    <row r="46" spans="1:18" s="112" customFormat="1" ht="20.100000000000001" customHeight="1" x14ac:dyDescent="0.15">
      <c r="A46" s="135">
        <v>1</v>
      </c>
      <c r="B46" s="157"/>
      <c r="C46" s="158">
        <f>5+5+5.3+6.5+7+3.5+3.3+4.3+1.5</f>
        <v>41.4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</row>
    <row r="47" spans="1:18" s="112" customFormat="1" ht="20.100000000000001" customHeight="1" x14ac:dyDescent="0.1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</row>
    <row r="48" spans="1:18" s="112" customFormat="1" ht="20.100000000000001" customHeight="1" x14ac:dyDescent="0.1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</row>
    <row r="49" spans="1:24" s="112" customFormat="1" ht="20.100000000000001" customHeight="1" x14ac:dyDescent="0.1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</row>
    <row r="50" spans="1:24" s="112" customFormat="1" ht="20.100000000000001" customHeight="1" x14ac:dyDescent="0.1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</row>
    <row r="51" spans="1:24" s="112" customFormat="1" ht="20.100000000000001" customHeight="1" x14ac:dyDescent="0.1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</row>
    <row r="52" spans="1:24" s="112" customFormat="1" ht="20.100000000000001" customHeight="1" x14ac:dyDescent="0.1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39"/>
      <c r="X52" s="139"/>
    </row>
    <row r="53" spans="1:24" s="112" customFormat="1" ht="20.100000000000001" customHeight="1" x14ac:dyDescent="0.1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</row>
    <row r="54" spans="1:24" s="112" customFormat="1" ht="20.100000000000001" customHeight="1" x14ac:dyDescent="0.1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</row>
    <row r="55" spans="1:24" s="112" customFormat="1" ht="20.100000000000001" customHeight="1" x14ac:dyDescent="0.1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</row>
    <row r="56" spans="1:24" s="112" customFormat="1" ht="20.100000000000001" customHeight="1" x14ac:dyDescent="0.1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</row>
    <row r="57" spans="1:24" s="112" customFormat="1" ht="20.100000000000001" customHeight="1" x14ac:dyDescent="0.1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</row>
    <row r="58" spans="1:24" s="112" customFormat="1" ht="20.100000000000001" customHeight="1" x14ac:dyDescent="0.1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</row>
    <row r="59" spans="1:24" s="112" customFormat="1" ht="20.100000000000001" customHeight="1" x14ac:dyDescent="0.1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</row>
    <row r="60" spans="1:24" s="112" customFormat="1" ht="20.100000000000001" customHeight="1" x14ac:dyDescent="0.1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X60" s="139"/>
    </row>
    <row r="61" spans="1:24" s="112" customFormat="1" ht="20.100000000000001" customHeight="1" x14ac:dyDescent="0.1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</row>
    <row r="62" spans="1:24" s="112" customFormat="1" ht="20.100000000000001" customHeight="1" x14ac:dyDescent="0.15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</row>
    <row r="63" spans="1:24" s="112" customFormat="1" ht="20.100000000000001" customHeight="1" x14ac:dyDescent="0.15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</row>
    <row r="64" spans="1:24" s="112" customFormat="1" ht="20.100000000000001" customHeight="1" x14ac:dyDescent="0.15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</row>
    <row r="65" spans="1:18" s="112" customFormat="1" ht="20.100000000000001" customHeight="1" x14ac:dyDescent="0.15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</row>
    <row r="66" spans="1:18" s="112" customFormat="1" ht="20.100000000000001" customHeight="1" x14ac:dyDescent="0.15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</row>
    <row r="67" spans="1:18" s="112" customFormat="1" ht="20.100000000000001" customHeight="1" x14ac:dyDescent="0.15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</row>
    <row r="68" spans="1:18" x14ac:dyDescent="0.1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</row>
    <row r="69" spans="1:18" s="113" customFormat="1" ht="20.100000000000001" customHeight="1" x14ac:dyDescent="0.15"/>
    <row r="70" spans="1:18" s="113" customFormat="1" ht="19.5" customHeight="1" x14ac:dyDescent="0.15"/>
    <row r="71" spans="1:18" s="113" customFormat="1" ht="20.100000000000001" customHeight="1" x14ac:dyDescent="0.15"/>
    <row r="72" spans="1:18" s="113" customFormat="1" ht="20.100000000000001" customHeight="1" x14ac:dyDescent="0.15"/>
    <row r="73" spans="1:18" s="113" customFormat="1" ht="20.100000000000001" customHeight="1" x14ac:dyDescent="0.15"/>
    <row r="74" spans="1:18" s="113" customFormat="1" ht="20.100000000000001" customHeight="1" x14ac:dyDescent="0.15"/>
    <row r="75" spans="1:18" s="113" customFormat="1" ht="20.100000000000001" customHeight="1" x14ac:dyDescent="0.15"/>
    <row r="76" spans="1:18" s="113" customFormat="1" ht="20.100000000000001" customHeight="1" x14ac:dyDescent="0.15"/>
    <row r="77" spans="1:18" s="113" customFormat="1" ht="20.100000000000001" customHeight="1" x14ac:dyDescent="0.15"/>
    <row r="78" spans="1:18" s="113" customFormat="1" ht="20.100000000000001" customHeight="1" x14ac:dyDescent="0.15"/>
    <row r="79" spans="1:18" s="113" customFormat="1" ht="20.100000000000001" customHeight="1" x14ac:dyDescent="0.15"/>
    <row r="80" spans="1:18" s="113" customFormat="1" ht="20.100000000000001" customHeight="1" x14ac:dyDescent="0.15"/>
    <row r="81" s="113" customFormat="1" ht="20.100000000000001" customHeight="1" x14ac:dyDescent="0.15"/>
    <row r="82" s="113" customFormat="1" ht="20.100000000000001" customHeight="1" x14ac:dyDescent="0.15"/>
    <row r="83" s="113" customFormat="1" ht="20.100000000000001" customHeight="1" x14ac:dyDescent="0.15"/>
    <row r="84" s="113" customFormat="1" ht="20.100000000000001" customHeight="1" x14ac:dyDescent="0.15"/>
    <row r="85" s="113" customFormat="1" ht="20.100000000000001" customHeight="1" x14ac:dyDescent="0.15"/>
    <row r="86" s="113" customFormat="1" ht="28.5" customHeight="1" x14ac:dyDescent="0.15"/>
    <row r="87" s="113" customFormat="1" ht="35.1" customHeight="1" x14ac:dyDescent="0.15"/>
    <row r="88" s="113" customFormat="1" ht="30" customHeight="1" x14ac:dyDescent="0.15"/>
    <row r="89" s="113" customFormat="1" ht="20.100000000000001" customHeight="1" x14ac:dyDescent="0.15"/>
    <row r="90" s="113" customFormat="1" ht="20.100000000000001" customHeight="1" x14ac:dyDescent="0.15"/>
    <row r="91" s="113" customFormat="1" ht="20.100000000000001" customHeight="1" x14ac:dyDescent="0.15"/>
    <row r="92" s="113" customFormat="1" ht="20.100000000000001" customHeight="1" x14ac:dyDescent="0.15"/>
    <row r="93" s="113" customFormat="1" ht="20.100000000000001" customHeight="1" x14ac:dyDescent="0.15"/>
    <row r="94" s="113" customFormat="1" ht="20.100000000000001" customHeight="1" x14ac:dyDescent="0.15"/>
    <row r="95" s="113" customFormat="1" ht="20.100000000000001" customHeight="1" x14ac:dyDescent="0.15"/>
    <row r="96" s="113" customFormat="1" ht="19.5" customHeight="1" x14ac:dyDescent="0.15"/>
    <row r="97" spans="1:16" s="113" customFormat="1" ht="19.5" customHeight="1" x14ac:dyDescent="0.15"/>
    <row r="98" spans="1:16" ht="20.100000000000001" customHeight="1" x14ac:dyDescent="0.15"/>
    <row r="99" spans="1:16" ht="20.100000000000001" customHeight="1" x14ac:dyDescent="0.15"/>
    <row r="100" spans="1:16" ht="20.100000000000001" customHeight="1" x14ac:dyDescent="0.15"/>
    <row r="101" spans="1:16" ht="20.100000000000001" customHeight="1" x14ac:dyDescent="0.15"/>
    <row r="102" spans="1:16" ht="20.100000000000001" customHeight="1" x14ac:dyDescent="0.15"/>
    <row r="103" spans="1:16" ht="20.100000000000001" customHeight="1" x14ac:dyDescent="0.15"/>
    <row r="104" spans="1:16" s="112" customFormat="1" ht="19.5" customHeight="1" x14ac:dyDescent="0.15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5"/>
    </row>
    <row r="105" spans="1:16" ht="20.100000000000001" customHeight="1" x14ac:dyDescent="0.15"/>
    <row r="106" spans="1:16" ht="20.100000000000001" customHeight="1" x14ac:dyDescent="0.15"/>
    <row r="107" spans="1:16" ht="20.100000000000001" customHeight="1" x14ac:dyDescent="0.15"/>
    <row r="108" spans="1:16" ht="20.100000000000001" customHeight="1" x14ac:dyDescent="0.15"/>
    <row r="109" spans="1:16" ht="20.100000000000001" customHeight="1" x14ac:dyDescent="0.15"/>
    <row r="110" spans="1:16" ht="20.100000000000001" customHeight="1" x14ac:dyDescent="0.15"/>
    <row r="111" spans="1:16" ht="20.100000000000001" customHeight="1" x14ac:dyDescent="0.15"/>
    <row r="112" spans="1:16" s="112" customFormat="1" ht="20.100000000000001" customHeight="1" x14ac:dyDescent="0.15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5"/>
    </row>
    <row r="113" spans="1:15" s="112" customFormat="1" ht="20.100000000000001" customHeight="1" x14ac:dyDescent="0.15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</row>
    <row r="114" spans="1:15" s="112" customFormat="1" ht="20.100000000000001" customHeight="1" x14ac:dyDescent="0.15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</row>
    <row r="115" spans="1:15" s="112" customFormat="1" ht="20.100000000000001" customHeight="1" x14ac:dyDescent="0.15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</row>
    <row r="116" spans="1:15" s="112" customFormat="1" ht="20.100000000000001" customHeight="1" x14ac:dyDescent="0.15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</row>
    <row r="117" spans="1:15" s="112" customFormat="1" ht="20.100000000000001" customHeight="1" x14ac:dyDescent="0.15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</row>
    <row r="118" spans="1:15" s="112" customFormat="1" ht="20.100000000000001" customHeight="1" x14ac:dyDescent="0.15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</row>
    <row r="119" spans="1:15" s="112" customFormat="1" ht="20.100000000000001" customHeight="1" x14ac:dyDescent="0.15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</row>
    <row r="120" spans="1:15" ht="28.5" customHeight="1" x14ac:dyDescent="0.15"/>
  </sheetData>
  <mergeCells count="60">
    <mergeCell ref="AB12:AB14"/>
    <mergeCell ref="W12:W14"/>
    <mergeCell ref="X12:X14"/>
    <mergeCell ref="Y12:Y14"/>
    <mergeCell ref="Z12:Z14"/>
    <mergeCell ref="AA12:AA14"/>
    <mergeCell ref="T12:T14"/>
    <mergeCell ref="U4:U6"/>
    <mergeCell ref="U12:U14"/>
    <mergeCell ref="V4:V6"/>
    <mergeCell ref="V12:V14"/>
    <mergeCell ref="Q12:Q14"/>
    <mergeCell ref="R5:R6"/>
    <mergeCell ref="R12:R14"/>
    <mergeCell ref="S4:S6"/>
    <mergeCell ref="S12:S14"/>
    <mergeCell ref="J12:J14"/>
    <mergeCell ref="K5:K6"/>
    <mergeCell ref="K12:K14"/>
    <mergeCell ref="L4:L6"/>
    <mergeCell ref="M4:M6"/>
    <mergeCell ref="G12:G14"/>
    <mergeCell ref="H4:H6"/>
    <mergeCell ref="H12:H14"/>
    <mergeCell ref="I4:I6"/>
    <mergeCell ref="I12:I14"/>
    <mergeCell ref="D12:D14"/>
    <mergeCell ref="E3:E6"/>
    <mergeCell ref="E12:E14"/>
    <mergeCell ref="F3:F6"/>
    <mergeCell ref="F12:F14"/>
    <mergeCell ref="B40:C40"/>
    <mergeCell ref="A3:A7"/>
    <mergeCell ref="A11:A15"/>
    <mergeCell ref="A40:A44"/>
    <mergeCell ref="B3:B7"/>
    <mergeCell ref="B12:B14"/>
    <mergeCell ref="B42:B43"/>
    <mergeCell ref="C3:C7"/>
    <mergeCell ref="C12:C14"/>
    <mergeCell ref="C42:C43"/>
    <mergeCell ref="Q3:R3"/>
    <mergeCell ref="S3:V3"/>
    <mergeCell ref="J4:K4"/>
    <mergeCell ref="B11:G11"/>
    <mergeCell ref="H11:I11"/>
    <mergeCell ref="J11:K11"/>
    <mergeCell ref="Q11:AB11"/>
    <mergeCell ref="D3:D6"/>
    <mergeCell ref="G3:G7"/>
    <mergeCell ref="J5:J6"/>
    <mergeCell ref="N4:N6"/>
    <mergeCell ref="O4:O6"/>
    <mergeCell ref="Q5:Q6"/>
    <mergeCell ref="T4:T6"/>
    <mergeCell ref="A1:O1"/>
    <mergeCell ref="M2:O2"/>
    <mergeCell ref="H3:K3"/>
    <mergeCell ref="L3:M3"/>
    <mergeCell ref="N3:O3"/>
  </mergeCells>
  <phoneticPr fontId="27" type="noConversion"/>
  <pageMargins left="0.97" right="0.7" top="0.47" bottom="0.75" header="0.3" footer="0.3"/>
  <pageSetup paperSize="8" scale="99" orientation="landscape" r:id="rId1"/>
  <rowBreaks count="1" manualBreakCount="1">
    <brk id="86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120"/>
  <sheetViews>
    <sheetView view="pageBreakPreview" zoomScale="85" zoomScaleNormal="85" workbookViewId="0">
      <selection activeCell="E29" sqref="E29"/>
    </sheetView>
  </sheetViews>
  <sheetFormatPr defaultColWidth="15.5" defaultRowHeight="14.25" x14ac:dyDescent="0.15"/>
  <cols>
    <col min="1" max="1" width="5.125" style="114" customWidth="1"/>
    <col min="2" max="2" width="16.625" style="114" customWidth="1"/>
    <col min="3" max="3" width="16" style="114" customWidth="1"/>
    <col min="4" max="10" width="15.125" style="114" customWidth="1"/>
    <col min="11" max="11" width="16.125" style="114" customWidth="1"/>
    <col min="12" max="12" width="15.625" style="114" customWidth="1"/>
    <col min="13" max="13" width="16.875" style="114" customWidth="1"/>
    <col min="14" max="14" width="17.625" style="115" customWidth="1"/>
    <col min="15" max="236" width="9" style="114" customWidth="1"/>
    <col min="237" max="237" width="4.25" style="114" customWidth="1"/>
    <col min="238" max="238" width="17.375" style="114" customWidth="1"/>
    <col min="239" max="239" width="14.625" style="114" customWidth="1"/>
    <col min="240" max="240" width="13.25" style="114" customWidth="1"/>
    <col min="241" max="241" width="13.875" style="114" customWidth="1"/>
    <col min="242" max="242" width="12.875" style="114" customWidth="1"/>
    <col min="243" max="244" width="16.875" style="114" customWidth="1"/>
    <col min="245" max="246" width="17.125" style="114" customWidth="1"/>
    <col min="247" max="247" width="13.625" style="114" customWidth="1"/>
    <col min="248" max="248" width="15.125" style="114" customWidth="1"/>
    <col min="249" max="249" width="16.625" style="114" customWidth="1"/>
    <col min="250" max="250" width="17.625" style="114" customWidth="1"/>
    <col min="251" max="16384" width="15.5" style="114"/>
  </cols>
  <sheetData>
    <row r="1" spans="1:22" ht="53.25" customHeight="1" x14ac:dyDescent="0.15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</row>
    <row r="2" spans="1:22" ht="30" customHeight="1" x14ac:dyDescent="0.15">
      <c r="A2" s="116" t="s">
        <v>162</v>
      </c>
      <c r="C2" s="117"/>
      <c r="D2" s="117"/>
      <c r="E2" s="117"/>
      <c r="F2" s="117"/>
      <c r="G2" s="117"/>
      <c r="H2" s="117"/>
      <c r="I2" s="117"/>
      <c r="J2" s="117"/>
      <c r="K2" s="117"/>
      <c r="L2" s="336" t="s">
        <v>110</v>
      </c>
      <c r="M2" s="336"/>
      <c r="P2" s="139"/>
    </row>
    <row r="3" spans="1:22" s="112" customFormat="1" ht="20.100000000000001" customHeight="1" x14ac:dyDescent="0.15">
      <c r="A3" s="327" t="s">
        <v>2</v>
      </c>
      <c r="B3" s="315" t="s">
        <v>26</v>
      </c>
      <c r="C3" s="315" t="s">
        <v>4</v>
      </c>
      <c r="D3" s="315" t="s">
        <v>5</v>
      </c>
      <c r="E3" s="315" t="s">
        <v>27</v>
      </c>
      <c r="F3" s="315" t="s">
        <v>28</v>
      </c>
      <c r="G3" s="315" t="s">
        <v>8</v>
      </c>
      <c r="H3" s="315" t="s">
        <v>29</v>
      </c>
      <c r="I3" s="315"/>
      <c r="J3" s="315" t="s">
        <v>30</v>
      </c>
      <c r="K3" s="315"/>
      <c r="L3" s="315"/>
      <c r="M3" s="316"/>
    </row>
    <row r="4" spans="1:22" s="112" customFormat="1" ht="20.100000000000001" customHeight="1" x14ac:dyDescent="0.15">
      <c r="A4" s="328"/>
      <c r="B4" s="322"/>
      <c r="C4" s="322"/>
      <c r="D4" s="322"/>
      <c r="E4" s="322"/>
      <c r="F4" s="322"/>
      <c r="G4" s="322"/>
      <c r="H4" s="120" t="s">
        <v>31</v>
      </c>
      <c r="I4" s="120" t="s">
        <v>32</v>
      </c>
      <c r="J4" s="319" t="s">
        <v>33</v>
      </c>
      <c r="K4" s="322" t="s">
        <v>34</v>
      </c>
      <c r="L4" s="319" t="s">
        <v>35</v>
      </c>
      <c r="M4" s="333" t="s">
        <v>36</v>
      </c>
    </row>
    <row r="5" spans="1:22" s="112" customFormat="1" ht="20.100000000000001" customHeight="1" x14ac:dyDescent="0.15">
      <c r="A5" s="328"/>
      <c r="B5" s="322"/>
      <c r="C5" s="322"/>
      <c r="D5" s="322"/>
      <c r="E5" s="322"/>
      <c r="F5" s="322"/>
      <c r="G5" s="322"/>
      <c r="H5" s="319" t="s">
        <v>37</v>
      </c>
      <c r="I5" s="319" t="s">
        <v>38</v>
      </c>
      <c r="J5" s="319"/>
      <c r="K5" s="322"/>
      <c r="L5" s="319"/>
      <c r="M5" s="333"/>
    </row>
    <row r="6" spans="1:22" s="112" customFormat="1" ht="20.100000000000001" customHeight="1" x14ac:dyDescent="0.15">
      <c r="A6" s="328"/>
      <c r="B6" s="322"/>
      <c r="C6" s="322"/>
      <c r="D6" s="322"/>
      <c r="E6" s="322"/>
      <c r="F6" s="322"/>
      <c r="G6" s="322"/>
      <c r="H6" s="319"/>
      <c r="I6" s="319"/>
      <c r="J6" s="319"/>
      <c r="K6" s="322"/>
      <c r="L6" s="319"/>
      <c r="M6" s="333"/>
    </row>
    <row r="7" spans="1:22" s="112" customFormat="1" ht="20.100000000000001" customHeight="1" x14ac:dyDescent="0.15">
      <c r="A7" s="328"/>
      <c r="B7" s="322"/>
      <c r="C7" s="322"/>
      <c r="D7" s="119" t="s">
        <v>16</v>
      </c>
      <c r="E7" s="119" t="s">
        <v>17</v>
      </c>
      <c r="F7" s="119" t="s">
        <v>17</v>
      </c>
      <c r="G7" s="322"/>
      <c r="H7" s="119" t="s">
        <v>39</v>
      </c>
      <c r="I7" s="119" t="s">
        <v>39</v>
      </c>
      <c r="J7" s="119" t="s">
        <v>122</v>
      </c>
      <c r="K7" s="119" t="s">
        <v>122</v>
      </c>
      <c r="L7" s="119" t="s">
        <v>123</v>
      </c>
      <c r="M7" s="141" t="s">
        <v>122</v>
      </c>
    </row>
    <row r="8" spans="1:22" s="112" customFormat="1" ht="20.100000000000001" customHeight="1" x14ac:dyDescent="0.15">
      <c r="A8" s="118">
        <v>1</v>
      </c>
      <c r="B8" s="119">
        <v>1</v>
      </c>
      <c r="C8" s="119">
        <f>B8+1</f>
        <v>2</v>
      </c>
      <c r="D8" s="119">
        <f t="shared" ref="D8:M8" si="0">C8+1</f>
        <v>3</v>
      </c>
      <c r="E8" s="119">
        <f t="shared" si="0"/>
        <v>4</v>
      </c>
      <c r="F8" s="119">
        <f t="shared" si="0"/>
        <v>5</v>
      </c>
      <c r="G8" s="119">
        <f t="shared" si="0"/>
        <v>6</v>
      </c>
      <c r="H8" s="119">
        <f t="shared" si="0"/>
        <v>7</v>
      </c>
      <c r="I8" s="119">
        <f t="shared" si="0"/>
        <v>8</v>
      </c>
      <c r="J8" s="119">
        <f t="shared" si="0"/>
        <v>9</v>
      </c>
      <c r="K8" s="119">
        <f t="shared" si="0"/>
        <v>10</v>
      </c>
      <c r="L8" s="119">
        <f t="shared" si="0"/>
        <v>11</v>
      </c>
      <c r="M8" s="141">
        <f t="shared" si="0"/>
        <v>12</v>
      </c>
    </row>
    <row r="9" spans="1:22" s="112" customFormat="1" ht="20.100000000000001" customHeight="1" x14ac:dyDescent="0.15">
      <c r="A9" s="121">
        <v>1</v>
      </c>
      <c r="B9" s="122" t="s">
        <v>163</v>
      </c>
      <c r="C9" s="123" t="s">
        <v>43</v>
      </c>
      <c r="D9" s="124" t="s">
        <v>164</v>
      </c>
      <c r="E9" s="125">
        <v>30.03</v>
      </c>
      <c r="F9" s="125">
        <v>3.5</v>
      </c>
      <c r="G9" s="122" t="s">
        <v>165</v>
      </c>
      <c r="H9" s="126">
        <v>4.78</v>
      </c>
      <c r="I9" s="126">
        <v>1.95</v>
      </c>
      <c r="J9" s="142">
        <v>0.1</v>
      </c>
      <c r="K9" s="143">
        <v>0.04</v>
      </c>
      <c r="L9" s="122" t="s">
        <v>128</v>
      </c>
      <c r="M9" s="144">
        <f>J9</f>
        <v>0.1</v>
      </c>
    </row>
    <row r="10" spans="1:22" s="112" customFormat="1" ht="20.100000000000001" customHeight="1" x14ac:dyDescent="0.15">
      <c r="A10" s="127"/>
      <c r="B10" s="127"/>
      <c r="C10" s="128"/>
      <c r="D10" s="129"/>
      <c r="E10" s="130"/>
      <c r="F10" s="130"/>
      <c r="G10" s="127"/>
      <c r="H10" s="131"/>
      <c r="I10" s="127"/>
      <c r="J10" s="145"/>
      <c r="K10" s="146"/>
      <c r="M10" s="127"/>
      <c r="N10" s="115"/>
      <c r="O10" s="113"/>
      <c r="P10" s="113"/>
      <c r="Q10" s="113"/>
      <c r="R10" s="113"/>
      <c r="S10" s="139"/>
      <c r="T10" s="139"/>
      <c r="U10" s="139"/>
      <c r="V10" s="139"/>
    </row>
    <row r="11" spans="1:22" s="112" customFormat="1" ht="20.100000000000001" customHeight="1" x14ac:dyDescent="0.15">
      <c r="A11" s="329" t="s">
        <v>2</v>
      </c>
      <c r="B11" s="315" t="s">
        <v>131</v>
      </c>
      <c r="C11" s="315"/>
      <c r="D11" s="315"/>
      <c r="E11" s="315"/>
      <c r="F11" s="315"/>
      <c r="G11" s="315"/>
      <c r="H11" s="315"/>
      <c r="I11" s="315"/>
      <c r="J11" s="315"/>
      <c r="K11" s="315"/>
      <c r="L11" s="315"/>
      <c r="M11" s="316"/>
    </row>
    <row r="12" spans="1:22" s="112" customFormat="1" ht="20.100000000000001" customHeight="1" x14ac:dyDescent="0.15">
      <c r="A12" s="330"/>
      <c r="B12" s="324" t="s">
        <v>142</v>
      </c>
      <c r="C12" s="324"/>
      <c r="D12" s="324" t="s">
        <v>166</v>
      </c>
      <c r="E12" s="324"/>
      <c r="F12" s="324" t="s">
        <v>145</v>
      </c>
      <c r="G12" s="324" t="s">
        <v>149</v>
      </c>
      <c r="H12" s="324" t="s">
        <v>150</v>
      </c>
      <c r="I12" s="324" t="s">
        <v>167</v>
      </c>
      <c r="J12" s="324" t="s">
        <v>65</v>
      </c>
      <c r="K12" s="324" t="s">
        <v>146</v>
      </c>
      <c r="L12" s="324" t="s">
        <v>147</v>
      </c>
      <c r="M12" s="334" t="s">
        <v>148</v>
      </c>
      <c r="Q12"/>
      <c r="R12"/>
      <c r="S12"/>
      <c r="T12"/>
      <c r="U12"/>
    </row>
    <row r="13" spans="1:22" s="112" customFormat="1" ht="20.100000000000001" customHeight="1" x14ac:dyDescent="0.15">
      <c r="A13" s="330"/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34"/>
      <c r="Q13"/>
      <c r="R13"/>
      <c r="S13"/>
      <c r="T13"/>
      <c r="U13"/>
    </row>
    <row r="14" spans="1:22" s="112" customFormat="1" ht="20.100000000000001" customHeight="1" x14ac:dyDescent="0.15">
      <c r="A14" s="330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34"/>
      <c r="Q14"/>
      <c r="R14"/>
      <c r="S14"/>
      <c r="T14"/>
      <c r="U14"/>
    </row>
    <row r="15" spans="1:22" s="112" customFormat="1" ht="20.100000000000001" customHeight="1" x14ac:dyDescent="0.15">
      <c r="A15" s="330"/>
      <c r="B15" s="134" t="s">
        <v>122</v>
      </c>
      <c r="C15" s="134" t="s">
        <v>154</v>
      </c>
      <c r="D15" s="119" t="s">
        <v>159</v>
      </c>
      <c r="E15" s="134" t="s">
        <v>154</v>
      </c>
      <c r="F15" s="134" t="s">
        <v>155</v>
      </c>
      <c r="G15" s="134" t="s">
        <v>157</v>
      </c>
      <c r="H15" s="134" t="s">
        <v>158</v>
      </c>
      <c r="I15" s="134" t="s">
        <v>158</v>
      </c>
      <c r="J15" s="134" t="s">
        <v>122</v>
      </c>
      <c r="K15" s="134" t="s">
        <v>156</v>
      </c>
      <c r="L15" s="134" t="s">
        <v>155</v>
      </c>
      <c r="M15" s="147" t="s">
        <v>122</v>
      </c>
      <c r="U15"/>
    </row>
    <row r="16" spans="1:22" s="112" customFormat="1" ht="20.100000000000001" customHeight="1" x14ac:dyDescent="0.15">
      <c r="A16" s="132">
        <v>1</v>
      </c>
      <c r="B16" s="134">
        <f>U17+1</f>
        <v>1</v>
      </c>
      <c r="C16" s="134">
        <f t="shared" ref="C16" si="1">B16+1</f>
        <v>2</v>
      </c>
      <c r="D16" s="119"/>
      <c r="E16" s="134">
        <f>C16+1</f>
        <v>3</v>
      </c>
      <c r="F16" s="134">
        <f>E16+1</f>
        <v>4</v>
      </c>
      <c r="G16" s="134">
        <f>M16+1</f>
        <v>8</v>
      </c>
      <c r="H16" s="134">
        <f>G16+1</f>
        <v>9</v>
      </c>
      <c r="I16" s="134">
        <f>H16+1</f>
        <v>10</v>
      </c>
      <c r="J16" s="134" t="e">
        <f>#REF!+1</f>
        <v>#REF!</v>
      </c>
      <c r="K16" s="134">
        <f>F16+1</f>
        <v>5</v>
      </c>
      <c r="L16" s="134">
        <f>K16+1</f>
        <v>6</v>
      </c>
      <c r="M16" s="147">
        <f>L16+1</f>
        <v>7</v>
      </c>
      <c r="U16"/>
    </row>
    <row r="17" spans="1:21" s="112" customFormat="1" ht="20.100000000000001" customHeight="1" x14ac:dyDescent="0.15">
      <c r="A17" s="135">
        <v>1</v>
      </c>
      <c r="B17" s="136">
        <f>钢板!N4</f>
        <v>16.614000000000001</v>
      </c>
      <c r="C17" s="136">
        <f>钢板!H22</f>
        <v>1043.3592000000001</v>
      </c>
      <c r="D17" s="122">
        <f>钢板!E8</f>
        <v>327</v>
      </c>
      <c r="E17" s="136">
        <f>钢板!F8</f>
        <v>49.36392</v>
      </c>
      <c r="F17" s="136">
        <f>钢板!G10</f>
        <v>4.6228535897573799</v>
      </c>
      <c r="G17" s="137">
        <f>D17</f>
        <v>327</v>
      </c>
      <c r="H17" s="137">
        <f>钢板!G15</f>
        <v>108</v>
      </c>
      <c r="I17" s="137">
        <f>钢板!G16</f>
        <v>327</v>
      </c>
      <c r="J17" s="136">
        <f>钢板!G18</f>
        <v>17.648879999999998</v>
      </c>
      <c r="K17" s="137">
        <f>钢板!G11</f>
        <v>129.36000000000001</v>
      </c>
      <c r="L17" s="143">
        <f>钢板!G12</f>
        <v>49.841999999999999</v>
      </c>
      <c r="M17" s="148">
        <f>钢板!G13</f>
        <v>16.614000000000001</v>
      </c>
      <c r="U17"/>
    </row>
    <row r="18" spans="1:21" ht="21.75" customHeight="1" x14ac:dyDescent="0.15">
      <c r="B18" s="138"/>
      <c r="D18" s="127"/>
      <c r="I18" s="127"/>
      <c r="J18" s="127"/>
      <c r="L18" s="127"/>
    </row>
    <row r="19" spans="1:21" s="112" customFormat="1" ht="20.100000000000001" customHeight="1" x14ac:dyDescent="0.15">
      <c r="A19" s="329" t="s">
        <v>2</v>
      </c>
      <c r="B19" s="315" t="s">
        <v>131</v>
      </c>
      <c r="C19" s="315"/>
      <c r="D19" s="315"/>
      <c r="E19" s="315"/>
      <c r="F19" s="315"/>
      <c r="G19" s="315"/>
      <c r="H19" s="315"/>
      <c r="I19" s="315"/>
      <c r="J19" s="315"/>
      <c r="K19" s="315"/>
      <c r="L19" s="315"/>
      <c r="M19" s="316"/>
    </row>
    <row r="20" spans="1:21" s="112" customFormat="1" ht="20.100000000000001" customHeight="1" x14ac:dyDescent="0.15">
      <c r="A20" s="330"/>
      <c r="B20" s="324" t="s">
        <v>143</v>
      </c>
      <c r="C20" s="324"/>
      <c r="D20" s="324" t="s">
        <v>168</v>
      </c>
      <c r="E20" s="324"/>
      <c r="F20" s="324" t="s">
        <v>145</v>
      </c>
      <c r="G20" s="324" t="s">
        <v>149</v>
      </c>
      <c r="H20" s="324" t="s">
        <v>150</v>
      </c>
      <c r="I20" s="324" t="s">
        <v>167</v>
      </c>
      <c r="J20" s="324" t="s">
        <v>65</v>
      </c>
      <c r="K20" s="324" t="s">
        <v>146</v>
      </c>
      <c r="L20" s="324" t="s">
        <v>147</v>
      </c>
      <c r="M20" s="334" t="s">
        <v>148</v>
      </c>
      <c r="P20"/>
      <c r="U20"/>
    </row>
    <row r="21" spans="1:21" s="112" customFormat="1" ht="20.100000000000001" customHeight="1" x14ac:dyDescent="0.15">
      <c r="A21" s="330"/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34"/>
    </row>
    <row r="22" spans="1:21" s="112" customFormat="1" ht="20.100000000000001" customHeight="1" x14ac:dyDescent="0.15">
      <c r="A22" s="330"/>
      <c r="B22" s="324"/>
      <c r="C22" s="324"/>
      <c r="D22" s="324"/>
      <c r="E22" s="324"/>
      <c r="F22" s="324"/>
      <c r="G22" s="324"/>
      <c r="H22" s="324"/>
      <c r="I22" s="324"/>
      <c r="J22" s="324"/>
      <c r="K22" s="324"/>
      <c r="L22" s="324"/>
      <c r="M22" s="334"/>
    </row>
    <row r="23" spans="1:21" s="112" customFormat="1" ht="20.100000000000001" customHeight="1" x14ac:dyDescent="0.15">
      <c r="A23" s="330"/>
      <c r="B23" s="134" t="s">
        <v>122</v>
      </c>
      <c r="C23" s="134" t="s">
        <v>154</v>
      </c>
      <c r="D23" s="119" t="s">
        <v>159</v>
      </c>
      <c r="E23" s="134" t="s">
        <v>154</v>
      </c>
      <c r="F23" s="134" t="s">
        <v>155</v>
      </c>
      <c r="G23" s="134" t="s">
        <v>157</v>
      </c>
      <c r="H23" s="134" t="s">
        <v>158</v>
      </c>
      <c r="I23" s="134" t="s">
        <v>158</v>
      </c>
      <c r="J23" s="134" t="s">
        <v>122</v>
      </c>
      <c r="K23" s="134" t="s">
        <v>156</v>
      </c>
      <c r="L23" s="134" t="s">
        <v>155</v>
      </c>
      <c r="M23" s="147" t="s">
        <v>122</v>
      </c>
    </row>
    <row r="24" spans="1:21" s="112" customFormat="1" ht="20.100000000000001" customHeight="1" x14ac:dyDescent="0.15">
      <c r="A24" s="132">
        <v>1</v>
      </c>
      <c r="B24" s="134">
        <f t="shared" ref="B24" si="2">A24+1</f>
        <v>2</v>
      </c>
      <c r="C24" s="134">
        <f t="shared" ref="C24" si="3">B24+1</f>
        <v>3</v>
      </c>
      <c r="D24" s="119"/>
      <c r="E24" s="134">
        <f>C24+1</f>
        <v>4</v>
      </c>
      <c r="F24" s="134">
        <f>E24+1</f>
        <v>5</v>
      </c>
      <c r="G24" s="134">
        <f>M24+1</f>
        <v>9</v>
      </c>
      <c r="H24" s="134">
        <f>G24+1</f>
        <v>10</v>
      </c>
      <c r="I24" s="134">
        <f>H24+1</f>
        <v>11</v>
      </c>
      <c r="J24" s="134" t="e">
        <f>#REF!+1</f>
        <v>#REF!</v>
      </c>
      <c r="K24" s="134">
        <f>F24+1</f>
        <v>6</v>
      </c>
      <c r="L24" s="134">
        <f>K24+1</f>
        <v>7</v>
      </c>
      <c r="M24" s="147">
        <f>L24+1</f>
        <v>8</v>
      </c>
    </row>
    <row r="25" spans="1:21" s="112" customFormat="1" ht="20.100000000000001" customHeight="1" x14ac:dyDescent="0.15">
      <c r="A25" s="135">
        <v>1</v>
      </c>
      <c r="B25" s="136">
        <f>钢板!O5</f>
        <v>36.244799999999998</v>
      </c>
      <c r="C25" s="136">
        <f>钢板!H23</f>
        <v>1707.1300799999999</v>
      </c>
      <c r="D25" s="122">
        <f>钢板!E9</f>
        <v>264</v>
      </c>
      <c r="E25" s="136">
        <f>钢板!F9</f>
        <v>82.051199999999994</v>
      </c>
      <c r="F25" s="136">
        <f>钢板!H10</f>
        <v>8.0864594903401308</v>
      </c>
      <c r="G25" s="137">
        <f>钢板!H14</f>
        <v>264</v>
      </c>
      <c r="H25" s="137">
        <f>钢板!H15</f>
        <v>156</v>
      </c>
      <c r="I25" s="137">
        <f>钢板!H16</f>
        <v>528</v>
      </c>
      <c r="J25" s="136">
        <f>钢板!H18</f>
        <v>38.133792</v>
      </c>
      <c r="K25" s="137">
        <f>钢板!H11</f>
        <v>318.67200000000003</v>
      </c>
      <c r="L25" s="143">
        <f>钢板!H12</f>
        <v>108.73439999999999</v>
      </c>
      <c r="M25" s="148">
        <f>钢板!H13</f>
        <v>28.411200000000001</v>
      </c>
    </row>
    <row r="26" spans="1:21" s="112" customFormat="1" ht="20.100000000000001" customHeight="1" x14ac:dyDescent="0.15">
      <c r="A26"/>
      <c r="B26"/>
      <c r="C26"/>
      <c r="N26" s="113"/>
    </row>
    <row r="27" spans="1:21" s="112" customFormat="1" ht="20.100000000000001" customHeight="1" x14ac:dyDescent="0.15">
      <c r="A27"/>
      <c r="B27"/>
      <c r="C27"/>
      <c r="N27" s="149"/>
      <c r="S27" s="113"/>
      <c r="T27" s="113"/>
    </row>
    <row r="28" spans="1:21" s="112" customFormat="1" ht="20.100000000000001" customHeight="1" x14ac:dyDescent="0.15">
      <c r="A28"/>
      <c r="B28"/>
      <c r="C28"/>
      <c r="E28"/>
      <c r="F28"/>
      <c r="G28"/>
      <c r="H28"/>
      <c r="I28"/>
      <c r="J28"/>
      <c r="K28"/>
      <c r="L28"/>
      <c r="M28"/>
      <c r="N28" s="149"/>
    </row>
    <row r="29" spans="1:21" s="112" customFormat="1" ht="20.100000000000001" customHeight="1" x14ac:dyDescent="0.15">
      <c r="A29"/>
      <c r="B29"/>
      <c r="C29"/>
      <c r="E29"/>
      <c r="F29"/>
      <c r="G29"/>
      <c r="H29"/>
      <c r="I29"/>
      <c r="J29"/>
      <c r="K29"/>
      <c r="L29"/>
      <c r="M29"/>
      <c r="N29" s="149"/>
    </row>
    <row r="30" spans="1:21" s="112" customFormat="1" ht="20.100000000000001" customHeight="1" x14ac:dyDescent="0.15">
      <c r="A30"/>
      <c r="B30"/>
      <c r="C30"/>
      <c r="E30"/>
      <c r="F30"/>
      <c r="G30"/>
      <c r="H30"/>
      <c r="I30"/>
      <c r="J30"/>
      <c r="K30"/>
      <c r="L30"/>
      <c r="M30"/>
      <c r="N30" s="149"/>
    </row>
    <row r="31" spans="1:21" s="112" customFormat="1" ht="20.100000000000001" customHeight="1" x14ac:dyDescent="0.15">
      <c r="A31"/>
      <c r="B31"/>
      <c r="C31"/>
      <c r="E31"/>
      <c r="F31"/>
      <c r="G31"/>
      <c r="H31"/>
      <c r="I31"/>
      <c r="J31"/>
      <c r="K31"/>
      <c r="L31"/>
      <c r="M31"/>
      <c r="N31" s="149"/>
    </row>
    <row r="32" spans="1:21" s="112" customFormat="1" ht="20.100000000000001" customHeight="1" x14ac:dyDescent="0.15">
      <c r="A32"/>
      <c r="B32"/>
      <c r="C32"/>
      <c r="E32"/>
      <c r="F32"/>
      <c r="G32"/>
      <c r="H32"/>
      <c r="I32"/>
      <c r="J32"/>
      <c r="K32"/>
      <c r="L32"/>
      <c r="M32"/>
      <c r="N32" s="149"/>
    </row>
    <row r="33" spans="1:16" s="112" customFormat="1" ht="20.100000000000001" customHeight="1" x14ac:dyDescent="0.15">
      <c r="A33"/>
      <c r="B33"/>
      <c r="C33"/>
      <c r="D33"/>
      <c r="E33"/>
      <c r="F33"/>
      <c r="G33"/>
      <c r="H33"/>
      <c r="I33"/>
      <c r="J33"/>
      <c r="K33"/>
      <c r="L33"/>
      <c r="M33"/>
      <c r="N33" s="149"/>
    </row>
    <row r="35" spans="1:16" customFormat="1" ht="53.25" customHeight="1" x14ac:dyDescent="0.15"/>
    <row r="36" spans="1:16" customFormat="1" ht="30" customHeight="1" x14ac:dyDescent="0.15"/>
    <row r="37" spans="1:16" customFormat="1" ht="20.100000000000001" customHeight="1" x14ac:dyDescent="0.15"/>
    <row r="38" spans="1:16" customFormat="1" ht="20.100000000000001" customHeight="1" x14ac:dyDescent="0.15"/>
    <row r="39" spans="1:16" customFormat="1" ht="20.100000000000001" customHeight="1" x14ac:dyDescent="0.15"/>
    <row r="40" spans="1:16" customFormat="1" ht="20.100000000000001" customHeight="1" x14ac:dyDescent="0.15"/>
    <row r="41" spans="1:16" customFormat="1" ht="20.100000000000001" customHeight="1" x14ac:dyDescent="0.15"/>
    <row r="42" spans="1:16" customFormat="1" ht="20.100000000000001" customHeight="1" x14ac:dyDescent="0.15"/>
    <row r="43" spans="1:16" customFormat="1" ht="20.100000000000001" customHeight="1" x14ac:dyDescent="0.15"/>
    <row r="44" spans="1:16" customFormat="1" ht="30" customHeight="1" x14ac:dyDescent="0.15"/>
    <row r="45" spans="1:16" s="112" customFormat="1" ht="20.100000000000001" customHeight="1" x14ac:dyDescent="0.15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</row>
    <row r="46" spans="1:16" s="112" customFormat="1" ht="20.100000000000001" customHeight="1" x14ac:dyDescent="0.1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</row>
    <row r="47" spans="1:16" s="112" customFormat="1" ht="20.100000000000001" customHeight="1" x14ac:dyDescent="0.1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</row>
    <row r="48" spans="1:16" s="112" customFormat="1" ht="20.100000000000001" customHeight="1" x14ac:dyDescent="0.1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</row>
    <row r="49" spans="1:22" s="112" customFormat="1" ht="20.100000000000001" customHeight="1" x14ac:dyDescent="0.1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</row>
    <row r="50" spans="1:22" s="112" customFormat="1" ht="20.100000000000001" customHeight="1" x14ac:dyDescent="0.1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</row>
    <row r="51" spans="1:22" s="112" customFormat="1" ht="20.100000000000001" customHeight="1" x14ac:dyDescent="0.1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</row>
    <row r="52" spans="1:22" s="112" customFormat="1" ht="20.100000000000001" customHeight="1" x14ac:dyDescent="0.1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39"/>
      <c r="V52" s="139"/>
    </row>
    <row r="53" spans="1:22" s="112" customFormat="1" ht="20.100000000000001" customHeight="1" x14ac:dyDescent="0.1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</row>
    <row r="54" spans="1:22" s="112" customFormat="1" ht="20.100000000000001" customHeight="1" x14ac:dyDescent="0.1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</row>
    <row r="55" spans="1:22" s="112" customFormat="1" ht="20.100000000000001" customHeight="1" x14ac:dyDescent="0.1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</row>
    <row r="56" spans="1:22" s="112" customFormat="1" ht="20.100000000000001" customHeight="1" x14ac:dyDescent="0.1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</row>
    <row r="57" spans="1:22" s="112" customFormat="1" ht="20.100000000000001" customHeight="1" x14ac:dyDescent="0.1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</row>
    <row r="58" spans="1:22" s="112" customFormat="1" ht="20.100000000000001" customHeight="1" x14ac:dyDescent="0.1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</row>
    <row r="59" spans="1:22" s="112" customFormat="1" ht="20.100000000000001" customHeight="1" x14ac:dyDescent="0.1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</row>
    <row r="60" spans="1:22" s="112" customFormat="1" ht="20.100000000000001" customHeight="1" x14ac:dyDescent="0.1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V60" s="139"/>
    </row>
    <row r="61" spans="1:22" s="112" customFormat="1" ht="20.100000000000001" customHeight="1" x14ac:dyDescent="0.1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</row>
    <row r="62" spans="1:22" s="112" customFormat="1" ht="20.100000000000001" customHeight="1" x14ac:dyDescent="0.15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</row>
    <row r="63" spans="1:22" s="112" customFormat="1" ht="20.100000000000001" customHeight="1" x14ac:dyDescent="0.15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</row>
    <row r="64" spans="1:22" s="112" customFormat="1" ht="20.100000000000001" customHeight="1" x14ac:dyDescent="0.15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</row>
    <row r="65" spans="1:16" s="112" customFormat="1" ht="20.100000000000001" customHeight="1" x14ac:dyDescent="0.15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</row>
    <row r="66" spans="1:16" s="112" customFormat="1" ht="20.100000000000001" customHeight="1" x14ac:dyDescent="0.15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</row>
    <row r="67" spans="1:16" s="112" customFormat="1" ht="20.100000000000001" customHeight="1" x14ac:dyDescent="0.15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</row>
    <row r="68" spans="1:16" x14ac:dyDescent="0.1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</row>
    <row r="69" spans="1:16" s="113" customFormat="1" ht="20.100000000000001" customHeight="1" x14ac:dyDescent="0.15"/>
    <row r="70" spans="1:16" s="113" customFormat="1" ht="19.5" customHeight="1" x14ac:dyDescent="0.15"/>
    <row r="71" spans="1:16" s="113" customFormat="1" ht="20.100000000000001" customHeight="1" x14ac:dyDescent="0.15"/>
    <row r="72" spans="1:16" s="113" customFormat="1" ht="20.100000000000001" customHeight="1" x14ac:dyDescent="0.15"/>
    <row r="73" spans="1:16" s="113" customFormat="1" ht="20.100000000000001" customHeight="1" x14ac:dyDescent="0.15"/>
    <row r="74" spans="1:16" s="113" customFormat="1" ht="20.100000000000001" customHeight="1" x14ac:dyDescent="0.15"/>
    <row r="75" spans="1:16" s="113" customFormat="1" ht="20.100000000000001" customHeight="1" x14ac:dyDescent="0.15"/>
    <row r="76" spans="1:16" s="113" customFormat="1" ht="20.100000000000001" customHeight="1" x14ac:dyDescent="0.15"/>
    <row r="77" spans="1:16" s="113" customFormat="1" ht="20.100000000000001" customHeight="1" x14ac:dyDescent="0.15"/>
    <row r="78" spans="1:16" s="113" customFormat="1" ht="20.100000000000001" customHeight="1" x14ac:dyDescent="0.15"/>
    <row r="79" spans="1:16" s="113" customFormat="1" ht="20.100000000000001" customHeight="1" x14ac:dyDescent="0.15"/>
    <row r="80" spans="1:16" s="113" customFormat="1" ht="20.100000000000001" customHeight="1" x14ac:dyDescent="0.15"/>
    <row r="81" s="113" customFormat="1" ht="20.100000000000001" customHeight="1" x14ac:dyDescent="0.15"/>
    <row r="82" s="113" customFormat="1" ht="20.100000000000001" customHeight="1" x14ac:dyDescent="0.15"/>
    <row r="83" s="113" customFormat="1" ht="20.100000000000001" customHeight="1" x14ac:dyDescent="0.15"/>
    <row r="84" s="113" customFormat="1" ht="20.100000000000001" customHeight="1" x14ac:dyDescent="0.15"/>
    <row r="85" s="113" customFormat="1" ht="20.100000000000001" customHeight="1" x14ac:dyDescent="0.15"/>
    <row r="86" s="113" customFormat="1" ht="28.5" customHeight="1" x14ac:dyDescent="0.15"/>
    <row r="87" s="113" customFormat="1" ht="35.1" customHeight="1" x14ac:dyDescent="0.15"/>
    <row r="88" s="113" customFormat="1" ht="30" customHeight="1" x14ac:dyDescent="0.15"/>
    <row r="89" s="113" customFormat="1" ht="20.100000000000001" customHeight="1" x14ac:dyDescent="0.15"/>
    <row r="90" s="113" customFormat="1" ht="20.100000000000001" customHeight="1" x14ac:dyDescent="0.15"/>
    <row r="91" s="113" customFormat="1" ht="20.100000000000001" customHeight="1" x14ac:dyDescent="0.15"/>
    <row r="92" s="113" customFormat="1" ht="20.100000000000001" customHeight="1" x14ac:dyDescent="0.15"/>
    <row r="93" s="113" customFormat="1" ht="20.100000000000001" customHeight="1" x14ac:dyDescent="0.15"/>
    <row r="94" s="113" customFormat="1" ht="20.100000000000001" customHeight="1" x14ac:dyDescent="0.15"/>
    <row r="95" s="113" customFormat="1" ht="20.100000000000001" customHeight="1" x14ac:dyDescent="0.15"/>
    <row r="96" s="113" customFormat="1" ht="19.5" customHeight="1" x14ac:dyDescent="0.15"/>
    <row r="97" spans="1:14" s="113" customFormat="1" ht="19.5" customHeight="1" x14ac:dyDescent="0.15"/>
    <row r="98" spans="1:14" ht="20.100000000000001" customHeight="1" x14ac:dyDescent="0.15"/>
    <row r="99" spans="1:14" ht="20.100000000000001" customHeight="1" x14ac:dyDescent="0.15"/>
    <row r="100" spans="1:14" ht="20.100000000000001" customHeight="1" x14ac:dyDescent="0.15"/>
    <row r="101" spans="1:14" ht="20.100000000000001" customHeight="1" x14ac:dyDescent="0.15"/>
    <row r="102" spans="1:14" ht="20.100000000000001" customHeight="1" x14ac:dyDescent="0.15"/>
    <row r="103" spans="1:14" ht="20.100000000000001" customHeight="1" x14ac:dyDescent="0.15"/>
    <row r="104" spans="1:14" s="112" customFormat="1" ht="19.5" customHeight="1" x14ac:dyDescent="0.15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5"/>
    </row>
    <row r="105" spans="1:14" ht="20.100000000000001" customHeight="1" x14ac:dyDescent="0.15"/>
    <row r="106" spans="1:14" ht="20.100000000000001" customHeight="1" x14ac:dyDescent="0.15"/>
    <row r="107" spans="1:14" ht="20.100000000000001" customHeight="1" x14ac:dyDescent="0.15"/>
    <row r="108" spans="1:14" ht="20.100000000000001" customHeight="1" x14ac:dyDescent="0.15"/>
    <row r="109" spans="1:14" ht="20.100000000000001" customHeight="1" x14ac:dyDescent="0.15"/>
    <row r="110" spans="1:14" ht="20.100000000000001" customHeight="1" x14ac:dyDescent="0.15"/>
    <row r="111" spans="1:14" ht="20.100000000000001" customHeight="1" x14ac:dyDescent="0.15"/>
    <row r="112" spans="1:14" s="112" customFormat="1" ht="20.100000000000001" customHeight="1" x14ac:dyDescent="0.15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5"/>
    </row>
    <row r="113" spans="1:13" s="112" customFormat="1" ht="20.100000000000001" customHeight="1" x14ac:dyDescent="0.15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</row>
    <row r="114" spans="1:13" s="112" customFormat="1" ht="20.100000000000001" customHeight="1" x14ac:dyDescent="0.15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</row>
    <row r="115" spans="1:13" s="112" customFormat="1" ht="20.100000000000001" customHeight="1" x14ac:dyDescent="0.15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</row>
    <row r="116" spans="1:13" s="112" customFormat="1" ht="20.100000000000001" customHeight="1" x14ac:dyDescent="0.15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</row>
    <row r="117" spans="1:13" s="112" customFormat="1" ht="20.100000000000001" customHeight="1" x14ac:dyDescent="0.15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</row>
    <row r="118" spans="1:13" s="112" customFormat="1" ht="20.100000000000001" customHeight="1" x14ac:dyDescent="0.15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</row>
    <row r="119" spans="1:13" s="112" customFormat="1" ht="20.100000000000001" customHeight="1" x14ac:dyDescent="0.15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</row>
    <row r="120" spans="1:13" ht="28.5" customHeight="1" x14ac:dyDescent="0.15"/>
  </sheetData>
  <mergeCells count="41">
    <mergeCell ref="M12:M14"/>
    <mergeCell ref="M20:M22"/>
    <mergeCell ref="B12:C14"/>
    <mergeCell ref="D12:E14"/>
    <mergeCell ref="B20:C22"/>
    <mergeCell ref="D20:E22"/>
    <mergeCell ref="K12:K14"/>
    <mergeCell ref="K20:K22"/>
    <mergeCell ref="L4:L6"/>
    <mergeCell ref="L12:L14"/>
    <mergeCell ref="L20:L22"/>
    <mergeCell ref="H20:H22"/>
    <mergeCell ref="I5:I6"/>
    <mergeCell ref="I12:I14"/>
    <mergeCell ref="I20:I22"/>
    <mergeCell ref="J4:J6"/>
    <mergeCell ref="J12:J14"/>
    <mergeCell ref="J20:J22"/>
    <mergeCell ref="B19:M19"/>
    <mergeCell ref="A3:A7"/>
    <mergeCell ref="A11:A15"/>
    <mergeCell ref="A19:A23"/>
    <mergeCell ref="B3:B7"/>
    <mergeCell ref="C3:C7"/>
    <mergeCell ref="D3:D6"/>
    <mergeCell ref="E3:E6"/>
    <mergeCell ref="F3:F6"/>
    <mergeCell ref="F12:F14"/>
    <mergeCell ref="F20:F22"/>
    <mergeCell ref="G3:G7"/>
    <mergeCell ref="G12:G14"/>
    <mergeCell ref="G20:G22"/>
    <mergeCell ref="H5:H6"/>
    <mergeCell ref="H12:H14"/>
    <mergeCell ref="A1:M1"/>
    <mergeCell ref="L2:M2"/>
    <mergeCell ref="H3:I3"/>
    <mergeCell ref="J3:M3"/>
    <mergeCell ref="B11:M11"/>
    <mergeCell ref="K4:K6"/>
    <mergeCell ref="M4:M6"/>
  </mergeCells>
  <phoneticPr fontId="27" type="noConversion"/>
  <pageMargins left="0.97" right="0.7" top="0.47" bottom="0.75" header="0.3" footer="0.3"/>
  <pageSetup paperSize="9" scale="67" orientation="landscape" r:id="rId1"/>
  <rowBreaks count="1" manualBreakCount="1">
    <brk id="86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4:O11"/>
  <sheetViews>
    <sheetView showGridLines="0" topLeftCell="A2" workbookViewId="0">
      <selection activeCell="K11" sqref="K11"/>
    </sheetView>
  </sheetViews>
  <sheetFormatPr defaultColWidth="9" defaultRowHeight="13.5" x14ac:dyDescent="0.15"/>
  <cols>
    <col min="5" max="5" width="12.125" customWidth="1"/>
    <col min="7" max="7" width="9.125" customWidth="1"/>
    <col min="8" max="8" width="10.375" customWidth="1"/>
    <col min="9" max="9" width="9.5" customWidth="1"/>
  </cols>
  <sheetData>
    <row r="4" spans="4:15" ht="30.75" x14ac:dyDescent="0.15">
      <c r="D4" s="63" t="s">
        <v>169</v>
      </c>
      <c r="E4" s="99" t="s">
        <v>170</v>
      </c>
      <c r="F4" s="64" t="s">
        <v>171</v>
      </c>
      <c r="G4" s="64" t="s">
        <v>172</v>
      </c>
      <c r="H4" s="100" t="s">
        <v>173</v>
      </c>
      <c r="I4" s="64" t="s">
        <v>174</v>
      </c>
      <c r="J4" s="100" t="s">
        <v>175</v>
      </c>
      <c r="K4" s="105" t="s">
        <v>176</v>
      </c>
      <c r="L4" s="106" t="s">
        <v>177</v>
      </c>
    </row>
    <row r="5" spans="4:15" ht="15.95" customHeight="1" x14ac:dyDescent="0.15">
      <c r="D5" s="101">
        <v>1</v>
      </c>
      <c r="E5" s="355" t="s">
        <v>178</v>
      </c>
      <c r="F5" s="103">
        <v>155</v>
      </c>
      <c r="G5" s="68">
        <f>60/0.1</f>
        <v>600</v>
      </c>
      <c r="H5" s="104">
        <f t="shared" ref="H5:H10" si="0">F5*G5/100</f>
        <v>930</v>
      </c>
      <c r="I5" s="107">
        <f>(IF(O5=6,0.222,0)+IF(O5=7,0.302,0)+IF(O5=8,0.395,0)+IF(O5=9,0.499,0)+IF(O5=10,0.617,0)+IF(O5=12,0.888,0)+IF(O5=14,1.21,0)+IF(O5=16,1.58,0)+IF(O5=18,2,0)+IF(O5=20,2.47,0)+IF(O5=22,2.98,0)+IF(O5=25,3.85,0)+IF(O5=28,4.83,0)+IF(O5=32,6.31,0)+IF(O5=36,7.99,0)+IF(O5=40,9.87,0))</f>
        <v>2.4700000000000002</v>
      </c>
      <c r="J5" s="104">
        <f t="shared" ref="J5:J10" si="1">H5*(IF(O5=6,0.222,0)+IF(O5=7,0.302,0)+IF(O5=8,0.395,0)+IF(O5=9,0.499,0)+IF(O5=10,0.617,0)+IF(O5=12,0.888,0)+IF(O5=14,1.21,0)+IF(O5=16,1.58,0)+IF(O5=18,2,0)+IF(O5=20,2.47,0)+IF(O5=22,2.98,0)+IF(O5=25,3.85,0)+IF(O5=28,4.83,0)+IF(O5=32,6.31,0)+IF(O5=36,7.99,0)+IF(O5=40,9.87,0))</f>
        <v>2297.1</v>
      </c>
      <c r="K5" s="108" t="s">
        <v>179</v>
      </c>
      <c r="L5" s="357">
        <f>0.3543*60</f>
        <v>21.257999999999999</v>
      </c>
      <c r="O5">
        <v>20</v>
      </c>
    </row>
    <row r="6" spans="4:15" ht="15.95" customHeight="1" x14ac:dyDescent="0.15">
      <c r="D6" s="101">
        <v>2</v>
      </c>
      <c r="E6" s="355"/>
      <c r="F6" s="103">
        <v>192</v>
      </c>
      <c r="G6" s="68">
        <f>G5</f>
        <v>600</v>
      </c>
      <c r="H6" s="104">
        <f t="shared" si="0"/>
        <v>1152</v>
      </c>
      <c r="I6" s="107">
        <f>(IF(O6=6,0.222,0)+IF(O6=7,0.302,0)+IF(O6=8,0.395,0)+IF(O6=9,0.499,0)+IF(O6=10,0.617,0)+IF(O6=12,0.888,0)+IF(O6=14,1.21,0)+IF(O6=16,1.58,0)+IF(O6=18,2,0)+IF(O6=20,2.47,0)+IF(O6=22,2.98,0)+IF(O6=25,3.85,0)+IF(O6=28,4.83,0)+IF(O6=32,6.31,0)+IF(O6=36,7.99,0)+IF(O6=40,9.87,0))</f>
        <v>2.4700000000000002</v>
      </c>
      <c r="J6" s="104">
        <f t="shared" si="1"/>
        <v>2845.44</v>
      </c>
      <c r="K6" s="109">
        <f>SUM(J5:J6,J9:J10)</f>
        <v>8017.62</v>
      </c>
      <c r="L6" s="357"/>
      <c r="O6">
        <v>20</v>
      </c>
    </row>
    <row r="7" spans="4:15" ht="15.95" customHeight="1" x14ac:dyDescent="0.15">
      <c r="D7" s="101">
        <v>3</v>
      </c>
      <c r="E7" s="102" t="s">
        <v>180</v>
      </c>
      <c r="F7" s="103">
        <v>5992</v>
      </c>
      <c r="G7" s="68">
        <v>26</v>
      </c>
      <c r="H7" s="104">
        <f t="shared" si="0"/>
        <v>1557.92</v>
      </c>
      <c r="I7" s="107">
        <f t="shared" ref="I7:I9" si="2">(IF(O7=6,0.222,0)+IF(O7=7,0.302,0)+IF(O7=8,0.395,0)+IF(O7=9,0.499,0)+IF(O7=10,0.617,0)+IF(O7=12,0.888,0)+IF(O7=14,1.21,0)+IF(O7=16,1.58,0)+IF(O7=18,2,0)+IF(O7=20,2.47,0)+IF(O7=22,2.98,0)+IF(O7=25,3.85,0)+IF(O7=28,4.83,0)+IF(O7=32,6.31,0)+IF(O7=36,7.99,0)+IF(O7=40,9.87,0))</f>
        <v>1.58</v>
      </c>
      <c r="J7" s="104">
        <f t="shared" si="1"/>
        <v>2461.5136000000002</v>
      </c>
      <c r="K7" s="108" t="s">
        <v>181</v>
      </c>
      <c r="L7" s="357"/>
      <c r="O7">
        <v>16</v>
      </c>
    </row>
    <row r="8" spans="4:15" ht="15.95" customHeight="1" x14ac:dyDescent="0.15">
      <c r="D8" s="101">
        <v>4</v>
      </c>
      <c r="E8" s="102" t="s">
        <v>182</v>
      </c>
      <c r="F8" s="103">
        <v>26</v>
      </c>
      <c r="G8" s="68">
        <f>6*301</f>
        <v>1806</v>
      </c>
      <c r="H8" s="104">
        <f t="shared" si="0"/>
        <v>469.56</v>
      </c>
      <c r="I8" s="107">
        <f t="shared" si="2"/>
        <v>0.88800000000000001</v>
      </c>
      <c r="J8" s="104">
        <f t="shared" si="1"/>
        <v>416.96928000000003</v>
      </c>
      <c r="K8" s="109">
        <f>J7</f>
        <v>2461.5136000000002</v>
      </c>
      <c r="L8" s="357" t="s">
        <v>183</v>
      </c>
      <c r="O8">
        <v>12</v>
      </c>
    </row>
    <row r="9" spans="4:15" ht="15.95" customHeight="1" x14ac:dyDescent="0.15">
      <c r="D9" s="101">
        <v>5</v>
      </c>
      <c r="E9" s="355" t="s">
        <v>178</v>
      </c>
      <c r="F9" s="103">
        <v>55</v>
      </c>
      <c r="G9" s="68">
        <f>G5*2</f>
        <v>1200</v>
      </c>
      <c r="H9" s="104">
        <f t="shared" si="0"/>
        <v>660</v>
      </c>
      <c r="I9" s="356">
        <f t="shared" si="2"/>
        <v>2.4700000000000002</v>
      </c>
      <c r="J9" s="104">
        <f t="shared" si="1"/>
        <v>1630.2</v>
      </c>
      <c r="K9" s="108" t="s">
        <v>184</v>
      </c>
      <c r="L9" s="357"/>
      <c r="O9">
        <v>20</v>
      </c>
    </row>
    <row r="10" spans="4:15" ht="15.95" customHeight="1" x14ac:dyDescent="0.15">
      <c r="D10" s="101">
        <v>6</v>
      </c>
      <c r="E10" s="355"/>
      <c r="F10" s="103">
        <v>42</v>
      </c>
      <c r="G10" s="68">
        <f>G6*2</f>
        <v>1200</v>
      </c>
      <c r="H10" s="104">
        <f t="shared" si="0"/>
        <v>504</v>
      </c>
      <c r="I10" s="356"/>
      <c r="J10" s="104">
        <f t="shared" si="1"/>
        <v>1244.8800000000001</v>
      </c>
      <c r="K10" s="109">
        <f>J8</f>
        <v>416.96928000000003</v>
      </c>
      <c r="L10" s="357">
        <f>0.244*60</f>
        <v>14.64</v>
      </c>
      <c r="O10">
        <v>20</v>
      </c>
    </row>
    <row r="11" spans="4:15" ht="15.95" customHeight="1" x14ac:dyDescent="0.15">
      <c r="D11" s="353" t="s">
        <v>185</v>
      </c>
      <c r="E11" s="354"/>
      <c r="F11" s="354"/>
      <c r="G11" s="354" t="s">
        <v>186</v>
      </c>
      <c r="H11" s="354"/>
      <c r="I11" s="354"/>
      <c r="J11" s="110" t="s">
        <v>187</v>
      </c>
      <c r="K11" s="111">
        <f>3.1415*0.0125^2*(0.25+0.12)*1200*0.667*1000</f>
        <v>145.3670221875</v>
      </c>
      <c r="L11" s="358"/>
    </row>
  </sheetData>
  <mergeCells count="8">
    <mergeCell ref="L5:L7"/>
    <mergeCell ref="L8:L9"/>
    <mergeCell ref="L10:L11"/>
    <mergeCell ref="D11:F11"/>
    <mergeCell ref="G11:I11"/>
    <mergeCell ref="E5:E6"/>
    <mergeCell ref="E9:E10"/>
    <mergeCell ref="I9:I10"/>
  </mergeCells>
  <phoneticPr fontId="2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O23"/>
  <sheetViews>
    <sheetView zoomScale="130" zoomScaleNormal="130" workbookViewId="0">
      <selection activeCell="H22" sqref="H22"/>
    </sheetView>
  </sheetViews>
  <sheetFormatPr defaultColWidth="9" defaultRowHeight="13.5" x14ac:dyDescent="0.15"/>
  <cols>
    <col min="1" max="1" width="5.5" customWidth="1"/>
    <col min="2" max="2" width="27.25" customWidth="1"/>
    <col min="3" max="3" width="17.25" customWidth="1"/>
    <col min="4" max="9" width="9.5" customWidth="1"/>
  </cols>
  <sheetData>
    <row r="1" spans="1:15" ht="21.75" x14ac:dyDescent="0.15">
      <c r="A1" s="359" t="s">
        <v>188</v>
      </c>
      <c r="B1" s="359"/>
      <c r="C1" s="359"/>
      <c r="D1" s="359"/>
      <c r="E1" s="359"/>
      <c r="F1" s="359"/>
      <c r="G1" s="86" t="s">
        <v>189</v>
      </c>
      <c r="H1" s="86" t="s">
        <v>190</v>
      </c>
      <c r="N1" s="86" t="s">
        <v>191</v>
      </c>
    </row>
    <row r="2" spans="1:15" ht="14.25" x14ac:dyDescent="0.15">
      <c r="A2" s="369" t="s">
        <v>192</v>
      </c>
      <c r="B2" s="371" t="s">
        <v>193</v>
      </c>
      <c r="C2" s="64" t="s">
        <v>194</v>
      </c>
      <c r="D2" s="65" t="s">
        <v>195</v>
      </c>
      <c r="E2" s="371" t="s">
        <v>196</v>
      </c>
      <c r="F2" s="66" t="s">
        <v>197</v>
      </c>
      <c r="G2" s="87"/>
    </row>
    <row r="3" spans="1:15" ht="14.25" x14ac:dyDescent="0.15">
      <c r="A3" s="370"/>
      <c r="B3" s="372"/>
      <c r="C3" s="69" t="s">
        <v>198</v>
      </c>
      <c r="D3" s="69" t="s">
        <v>19</v>
      </c>
      <c r="E3" s="372"/>
      <c r="F3" s="70" t="s">
        <v>19</v>
      </c>
      <c r="G3" s="88"/>
    </row>
    <row r="4" spans="1:15" ht="14.25" x14ac:dyDescent="0.15">
      <c r="A4" s="67">
        <v>1</v>
      </c>
      <c r="B4" s="69" t="s">
        <v>199</v>
      </c>
      <c r="C4" s="71" t="s">
        <v>200</v>
      </c>
      <c r="D4" s="72">
        <f>21.3*0.26*0.008*7850</f>
        <v>347.78640000000001</v>
      </c>
      <c r="E4" s="50">
        <f>3</f>
        <v>3</v>
      </c>
      <c r="F4" s="73">
        <f>D4*E4</f>
        <v>1043.3592000000001</v>
      </c>
      <c r="G4" s="89"/>
      <c r="H4">
        <f>21.3*0.26*E4</f>
        <v>16.614000000000001</v>
      </c>
      <c r="J4">
        <f>18.72*0.18*E4</f>
        <v>10.1088</v>
      </c>
      <c r="N4" s="97">
        <f>21.3*0.26*E4</f>
        <v>16.614000000000001</v>
      </c>
    </row>
    <row r="5" spans="1:15" ht="14.25" x14ac:dyDescent="0.15">
      <c r="A5" s="67">
        <v>2</v>
      </c>
      <c r="B5" s="69" t="s">
        <v>201</v>
      </c>
      <c r="C5" s="71" t="s">
        <v>202</v>
      </c>
      <c r="D5" s="72">
        <f>2.588*0.3*0.006*7850</f>
        <v>36.568440000000002</v>
      </c>
      <c r="E5" s="50">
        <f>4*2*3</f>
        <v>24</v>
      </c>
      <c r="F5" s="73">
        <f t="shared" ref="F5:F6" si="0">D5*E5</f>
        <v>877.64256</v>
      </c>
      <c r="G5" s="89"/>
      <c r="H5">
        <f>2.588*0.3*E5</f>
        <v>18.633600000000001</v>
      </c>
      <c r="N5" s="97">
        <f>2.588*0.3*E5</f>
        <v>18.633600000000001</v>
      </c>
      <c r="O5" s="373">
        <f>SUM(N5:N7)</f>
        <v>36.244799999999998</v>
      </c>
    </row>
    <row r="6" spans="1:15" ht="14.25" x14ac:dyDescent="0.15">
      <c r="A6" s="67">
        <v>3</v>
      </c>
      <c r="B6" s="69" t="s">
        <v>203</v>
      </c>
      <c r="C6" s="71" t="s">
        <v>204</v>
      </c>
      <c r="D6" s="72">
        <f>2.4*0.2*0.006*7850</f>
        <v>22.608000000000001</v>
      </c>
      <c r="E6" s="50">
        <f>4*2*3</f>
        <v>24</v>
      </c>
      <c r="F6" s="73">
        <f t="shared" si="0"/>
        <v>542.59199999999998</v>
      </c>
      <c r="G6" s="89"/>
      <c r="H6">
        <f>2.4*0.2*E6</f>
        <v>11.52</v>
      </c>
      <c r="N6" s="97">
        <f>2.4*0.2*E6</f>
        <v>11.52</v>
      </c>
      <c r="O6" s="374"/>
    </row>
    <row r="7" spans="1:15" ht="14.25" x14ac:dyDescent="0.15">
      <c r="A7" s="67">
        <v>4</v>
      </c>
      <c r="B7" s="69" t="s">
        <v>205</v>
      </c>
      <c r="C7" s="71" t="s">
        <v>206</v>
      </c>
      <c r="D7" s="72">
        <f>1.128*0.3*0.006*7850</f>
        <v>15.938639999999999</v>
      </c>
      <c r="E7" s="50">
        <v>18</v>
      </c>
      <c r="F7" s="73">
        <f t="shared" ref="F7:F9" si="1">D7*E7</f>
        <v>286.89551999999998</v>
      </c>
      <c r="G7" s="89"/>
      <c r="N7" s="97">
        <f>1.128*0.3*E7</f>
        <v>6.0911999999999997</v>
      </c>
      <c r="O7" s="374"/>
    </row>
    <row r="8" spans="1:15" ht="14.25" x14ac:dyDescent="0.15">
      <c r="A8" s="67">
        <v>5</v>
      </c>
      <c r="B8" s="69" t="s">
        <v>207</v>
      </c>
      <c r="C8" s="69" t="s">
        <v>208</v>
      </c>
      <c r="D8" s="72">
        <f>0.17*0.888</f>
        <v>0.15096000000000001</v>
      </c>
      <c r="E8" s="71">
        <f>(54+55)*3</f>
        <v>327</v>
      </c>
      <c r="F8" s="73">
        <f t="shared" si="1"/>
        <v>49.36392</v>
      </c>
      <c r="G8" s="89"/>
    </row>
    <row r="9" spans="1:15" ht="14.25" x14ac:dyDescent="0.15">
      <c r="A9" s="67">
        <v>6</v>
      </c>
      <c r="B9" s="69" t="s">
        <v>209</v>
      </c>
      <c r="C9" s="69" t="s">
        <v>210</v>
      </c>
      <c r="D9" s="72">
        <f>0.35*0.888</f>
        <v>0.31080000000000002</v>
      </c>
      <c r="E9" s="71">
        <f>8*4*2*3+4*6*3</f>
        <v>264</v>
      </c>
      <c r="F9" s="73">
        <f t="shared" si="1"/>
        <v>82.051199999999994</v>
      </c>
      <c r="G9" s="89"/>
      <c r="K9" s="40" t="s">
        <v>211</v>
      </c>
      <c r="L9" s="78">
        <f>SUM(L3:L8)</f>
        <v>0</v>
      </c>
    </row>
    <row r="10" spans="1:15" ht="14.25" x14ac:dyDescent="0.15">
      <c r="A10" s="67">
        <v>7</v>
      </c>
      <c r="B10" s="69" t="s">
        <v>212</v>
      </c>
      <c r="C10" s="282" t="s">
        <v>213</v>
      </c>
      <c r="D10" s="360">
        <f>PI()*0.0075^2*0.12*2/3*E8*1000+PI()*0.0075^2*0.26*2/3*E9*1000</f>
        <v>12.7093130800975</v>
      </c>
      <c r="E10" s="361"/>
      <c r="F10" s="362"/>
      <c r="G10" s="90">
        <f>PI()*0.0075^2*0.12*2/3*E8*1000</f>
        <v>4.6228535897573799</v>
      </c>
      <c r="H10" s="91">
        <f>PI()*0.0075^2*0.26*2/3*E9*1000</f>
        <v>8.0864594903401308</v>
      </c>
      <c r="I10" s="91"/>
    </row>
    <row r="11" spans="1:15" ht="14.25" x14ac:dyDescent="0.15">
      <c r="A11" s="67">
        <v>8</v>
      </c>
      <c r="B11" s="69" t="s">
        <v>214</v>
      </c>
      <c r="C11" s="282" t="s">
        <v>213</v>
      </c>
      <c r="D11" s="360">
        <f>(21.3+0.26)*2*E4+(2.588+0.3)*2*E5+(2.48+0.2)*2*E6+(1.128+0.3)*2*E7</f>
        <v>448.03199999999998</v>
      </c>
      <c r="E11" s="361"/>
      <c r="F11" s="362"/>
      <c r="G11" s="90">
        <f>(21.3+0.26)*2*E4</f>
        <v>129.36000000000001</v>
      </c>
      <c r="H11" s="91">
        <f>(2.588+0.3)*2*E5+(2.48+0.2)*2*E6+(1.128+0.3)*2*E7</f>
        <v>318.67200000000003</v>
      </c>
      <c r="J11" s="98">
        <f>(21.3+0.26)*2*E4</f>
        <v>129.36000000000001</v>
      </c>
      <c r="K11">
        <f>(2.588+0.3)*2*E5+(2.48+0.2)*2*E6</f>
        <v>267.26400000000001</v>
      </c>
    </row>
    <row r="12" spans="1:15" ht="14.25" x14ac:dyDescent="0.15">
      <c r="A12" s="67">
        <v>9</v>
      </c>
      <c r="B12" s="69" t="s">
        <v>215</v>
      </c>
      <c r="C12" s="282" t="s">
        <v>213</v>
      </c>
      <c r="D12" s="360">
        <f>(21.3*0.26*0.003*E4+2.588*0.3*0.003*E5+2.4*0.2*0.003*E6+1.128*0.3*0.003*E7)*1000</f>
        <v>158.57640000000001</v>
      </c>
      <c r="E12" s="361"/>
      <c r="F12" s="362"/>
      <c r="G12" s="90">
        <f>(21.3*0.26*0.003*E4)*1000</f>
        <v>49.841999999999999</v>
      </c>
      <c r="H12" s="91">
        <f>(2.588*0.3*0.003*E5+2.4*0.2*0.003*E6+1.128*0.3*0.003*E7)*1000</f>
        <v>108.73439999999999</v>
      </c>
    </row>
    <row r="13" spans="1:15" ht="16.5" x14ac:dyDescent="0.15">
      <c r="A13" s="67">
        <v>10</v>
      </c>
      <c r="B13" s="69" t="s">
        <v>216</v>
      </c>
      <c r="C13" s="282" t="s">
        <v>213</v>
      </c>
      <c r="D13" s="360">
        <f>21.3*0.26*E4+2.3*0.3*E5+1.2*0.2*E6+1.128*0.3*E7</f>
        <v>45.025199999999998</v>
      </c>
      <c r="E13" s="361"/>
      <c r="F13" s="362"/>
      <c r="G13" s="90">
        <f>21.3*0.26*E4</f>
        <v>16.614000000000001</v>
      </c>
      <c r="H13" s="91">
        <f>2.3*0.3*E5+1.2*0.2*E6+1.128*0.3*E7</f>
        <v>28.411200000000001</v>
      </c>
    </row>
    <row r="14" spans="1:15" ht="14.25" x14ac:dyDescent="0.15">
      <c r="A14" s="67">
        <v>11</v>
      </c>
      <c r="B14" s="69" t="s">
        <v>217</v>
      </c>
      <c r="C14" s="69" t="s">
        <v>218</v>
      </c>
      <c r="D14" s="363">
        <f>E8+E9</f>
        <v>591</v>
      </c>
      <c r="E14" s="364"/>
      <c r="F14" s="365"/>
      <c r="G14" s="92">
        <f>E8</f>
        <v>327</v>
      </c>
      <c r="H14" s="93">
        <f>E9</f>
        <v>264</v>
      </c>
    </row>
    <row r="15" spans="1:15" ht="14.25" x14ac:dyDescent="0.15">
      <c r="A15" s="67">
        <v>12</v>
      </c>
      <c r="B15" s="69" t="s">
        <v>219</v>
      </c>
      <c r="C15" s="283" t="s">
        <v>213</v>
      </c>
      <c r="D15" s="363">
        <f>36*E4+2*E5+3*E6+2*E7</f>
        <v>264</v>
      </c>
      <c r="E15" s="364"/>
      <c r="F15" s="365"/>
      <c r="G15" s="92">
        <f>36*E4</f>
        <v>108</v>
      </c>
      <c r="H15" s="93">
        <f>2*E5+3*E6+2*E7</f>
        <v>156</v>
      </c>
    </row>
    <row r="16" spans="1:15" ht="14.25" x14ac:dyDescent="0.15">
      <c r="A16" s="67">
        <v>13</v>
      </c>
      <c r="B16" s="69" t="s">
        <v>220</v>
      </c>
      <c r="C16" s="282" t="s">
        <v>213</v>
      </c>
      <c r="D16" s="363">
        <f>E8+E9*2</f>
        <v>855</v>
      </c>
      <c r="E16" s="364"/>
      <c r="F16" s="365"/>
      <c r="G16" s="92">
        <f>E8</f>
        <v>327</v>
      </c>
      <c r="H16" s="93">
        <f>E9*2</f>
        <v>528</v>
      </c>
    </row>
    <row r="17" spans="1:9" ht="14.25" x14ac:dyDescent="0.15">
      <c r="A17" s="67">
        <v>14</v>
      </c>
      <c r="B17" s="69" t="s">
        <v>221</v>
      </c>
      <c r="C17" s="71" t="s">
        <v>222</v>
      </c>
      <c r="D17" s="363">
        <f>D16</f>
        <v>855</v>
      </c>
      <c r="E17" s="364"/>
      <c r="F17" s="365"/>
      <c r="G17" s="92">
        <f>G16</f>
        <v>327</v>
      </c>
      <c r="H17" s="93">
        <f>H16</f>
        <v>528</v>
      </c>
    </row>
    <row r="18" spans="1:9" ht="16.5" x14ac:dyDescent="0.15">
      <c r="A18" s="74">
        <v>15</v>
      </c>
      <c r="B18" s="75" t="s">
        <v>223</v>
      </c>
      <c r="C18" s="284" t="s">
        <v>213</v>
      </c>
      <c r="D18" s="366">
        <f>(21.3+0.26)*2*E4*0.008+((2.588+0.3)*2*E5+(2.4+0.2)*2*E6+(1.128+0.3)*2*E7)*0.006+21.3*0.26*E4+2.588*0.3*E5+2.4*0.2*E6+1.128*0.3*E7</f>
        <v>55.782671999999998</v>
      </c>
      <c r="E18" s="367"/>
      <c r="F18" s="368"/>
      <c r="G18" s="94">
        <f>(21.3+0.26)*2*E4*0.008+21.3*0.26*E4</f>
        <v>17.648879999999998</v>
      </c>
      <c r="H18" s="95">
        <f>((2.588+0.3)*2*E5+(2.4+0.2)*2*E6+(1.128+0.3)*2*E7)*0.006+2.588*0.3*E5+2.4*0.2*E6+1.128*0.3*E7</f>
        <v>38.133792</v>
      </c>
    </row>
    <row r="21" spans="1:9" x14ac:dyDescent="0.15">
      <c r="F21" t="s">
        <v>224</v>
      </c>
      <c r="H21" s="96">
        <f>SUM(F4:F7)</f>
        <v>2750.4892799999998</v>
      </c>
      <c r="I21" s="96"/>
    </row>
    <row r="22" spans="1:9" x14ac:dyDescent="0.15">
      <c r="F22" t="s">
        <v>189</v>
      </c>
      <c r="H22" s="96">
        <f>F4</f>
        <v>1043.3592000000001</v>
      </c>
      <c r="I22" s="96"/>
    </row>
    <row r="23" spans="1:9" x14ac:dyDescent="0.15">
      <c r="F23" t="s">
        <v>190</v>
      </c>
      <c r="H23" s="96">
        <f>H21-H22</f>
        <v>1707.1300799999999</v>
      </c>
      <c r="I23" s="96"/>
    </row>
  </sheetData>
  <mergeCells count="14">
    <mergeCell ref="O5:O7"/>
    <mergeCell ref="D14:F14"/>
    <mergeCell ref="D15:F15"/>
    <mergeCell ref="D16:F16"/>
    <mergeCell ref="D17:F17"/>
    <mergeCell ref="D18:F18"/>
    <mergeCell ref="A1:F1"/>
    <mergeCell ref="D10:F10"/>
    <mergeCell ref="D11:F11"/>
    <mergeCell ref="D12:F12"/>
    <mergeCell ref="D13:F13"/>
    <mergeCell ref="A2:A3"/>
    <mergeCell ref="B2:B3"/>
    <mergeCell ref="E2:E3"/>
  </mergeCells>
  <phoneticPr fontId="27" type="noConversion"/>
  <pageMargins left="0.7" right="0.7" top="0.75" bottom="0.75" header="0.3" footer="0.3"/>
  <pageSetup paperSize="9" orientation="portrait" horizontalDpi="1200" verticalDpi="12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I16:J16"/>
  <sheetViews>
    <sheetView workbookViewId="0">
      <selection activeCell="F33" sqref="F33"/>
    </sheetView>
  </sheetViews>
  <sheetFormatPr defaultColWidth="9" defaultRowHeight="13.5" x14ac:dyDescent="0.15"/>
  <sheetData>
    <row r="16" spans="9:10" x14ac:dyDescent="0.15">
      <c r="I16">
        <v>186.7</v>
      </c>
      <c r="J16">
        <v>347.8</v>
      </c>
    </row>
  </sheetData>
  <phoneticPr fontId="2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D9:M38"/>
  <sheetViews>
    <sheetView topLeftCell="A7" workbookViewId="0">
      <selection activeCell="E25" sqref="E25"/>
    </sheetView>
  </sheetViews>
  <sheetFormatPr defaultColWidth="9" defaultRowHeight="13.5" x14ac:dyDescent="0.15"/>
  <sheetData>
    <row r="9" spans="4:13" ht="26.25" customHeight="1" x14ac:dyDescent="0.15">
      <c r="D9" s="378" t="s">
        <v>225</v>
      </c>
      <c r="E9" s="386" t="s">
        <v>226</v>
      </c>
      <c r="F9" s="375" t="s">
        <v>227</v>
      </c>
      <c r="G9" s="376"/>
      <c r="H9" s="375" t="s">
        <v>228</v>
      </c>
      <c r="I9" s="376"/>
      <c r="J9" s="375" t="s">
        <v>229</v>
      </c>
      <c r="K9" s="376"/>
      <c r="L9" s="375" t="s">
        <v>230</v>
      </c>
      <c r="M9" s="377"/>
    </row>
    <row r="10" spans="4:13" ht="38.25" customHeight="1" x14ac:dyDescent="0.15">
      <c r="D10" s="379"/>
      <c r="E10" s="387"/>
      <c r="F10" s="20" t="s">
        <v>231</v>
      </c>
      <c r="G10" s="389" t="s">
        <v>232</v>
      </c>
      <c r="H10" s="20" t="s">
        <v>231</v>
      </c>
      <c r="I10" s="389" t="s">
        <v>232</v>
      </c>
      <c r="J10" s="20" t="s">
        <v>231</v>
      </c>
      <c r="K10" s="389" t="s">
        <v>233</v>
      </c>
      <c r="L10" s="20" t="s">
        <v>231</v>
      </c>
      <c r="M10" s="390" t="s">
        <v>234</v>
      </c>
    </row>
    <row r="11" spans="4:13" x14ac:dyDescent="0.15">
      <c r="D11" s="380"/>
      <c r="E11" s="388"/>
      <c r="F11" s="22" t="s">
        <v>235</v>
      </c>
      <c r="G11" s="388"/>
      <c r="H11" s="22" t="s">
        <v>235</v>
      </c>
      <c r="I11" s="388"/>
      <c r="J11" s="22" t="s">
        <v>235</v>
      </c>
      <c r="K11" s="388"/>
      <c r="L11" s="22" t="s">
        <v>235</v>
      </c>
      <c r="M11" s="391"/>
    </row>
    <row r="12" spans="4:13" x14ac:dyDescent="0.15">
      <c r="D12" s="381" t="s">
        <v>236</v>
      </c>
      <c r="E12" s="22" t="s">
        <v>237</v>
      </c>
      <c r="F12" s="24">
        <v>32</v>
      </c>
      <c r="G12" s="24">
        <v>41.65</v>
      </c>
      <c r="H12" s="24" t="s">
        <v>43</v>
      </c>
      <c r="I12" s="24" t="s">
        <v>43</v>
      </c>
      <c r="J12" s="24" t="s">
        <v>43</v>
      </c>
      <c r="K12" s="24" t="s">
        <v>43</v>
      </c>
      <c r="L12" s="24">
        <v>32</v>
      </c>
      <c r="M12" s="30">
        <v>41.65</v>
      </c>
    </row>
    <row r="13" spans="4:13" x14ac:dyDescent="0.15">
      <c r="D13" s="382"/>
      <c r="E13" s="22" t="s">
        <v>238</v>
      </c>
      <c r="F13" s="24">
        <v>4</v>
      </c>
      <c r="G13" s="24">
        <v>23.56</v>
      </c>
      <c r="H13" s="24" t="s">
        <v>43</v>
      </c>
      <c r="I13" s="24" t="s">
        <v>43</v>
      </c>
      <c r="J13" s="24" t="s">
        <v>43</v>
      </c>
      <c r="K13" s="24" t="s">
        <v>43</v>
      </c>
      <c r="L13" s="24">
        <v>4</v>
      </c>
      <c r="M13" s="30">
        <v>23.56</v>
      </c>
    </row>
    <row r="14" spans="4:13" x14ac:dyDescent="0.15">
      <c r="D14" s="383"/>
      <c r="E14" s="22" t="s">
        <v>239</v>
      </c>
      <c r="F14" s="24">
        <v>4</v>
      </c>
      <c r="G14" s="24">
        <v>5.44</v>
      </c>
      <c r="H14" s="24" t="s">
        <v>43</v>
      </c>
      <c r="I14" s="24" t="s">
        <v>43</v>
      </c>
      <c r="J14" s="24" t="s">
        <v>43</v>
      </c>
      <c r="K14" s="24" t="s">
        <v>43</v>
      </c>
      <c r="L14" s="24">
        <v>4</v>
      </c>
      <c r="M14" s="30">
        <v>5.44</v>
      </c>
    </row>
    <row r="15" spans="4:13" x14ac:dyDescent="0.15">
      <c r="D15" s="384" t="s">
        <v>240</v>
      </c>
      <c r="E15" s="22" t="s">
        <v>237</v>
      </c>
      <c r="F15" s="24" t="s">
        <v>43</v>
      </c>
      <c r="G15" s="24" t="s">
        <v>43</v>
      </c>
      <c r="H15" s="24">
        <v>1</v>
      </c>
      <c r="I15" s="24">
        <v>2.54</v>
      </c>
      <c r="J15" s="24">
        <v>1</v>
      </c>
      <c r="K15" s="24">
        <v>2.54</v>
      </c>
      <c r="L15" s="24">
        <v>1</v>
      </c>
      <c r="M15" s="30">
        <v>2.54</v>
      </c>
    </row>
    <row r="16" spans="4:13" x14ac:dyDescent="0.15">
      <c r="D16" s="380"/>
      <c r="E16" s="22" t="s">
        <v>239</v>
      </c>
      <c r="F16" s="24" t="s">
        <v>43</v>
      </c>
      <c r="G16" s="24" t="s">
        <v>43</v>
      </c>
      <c r="H16" s="24">
        <v>1</v>
      </c>
      <c r="I16" s="24">
        <v>2.14</v>
      </c>
      <c r="J16" s="24">
        <v>1</v>
      </c>
      <c r="K16" s="24">
        <v>2.14</v>
      </c>
      <c r="L16" s="24">
        <v>1</v>
      </c>
      <c r="M16" s="30">
        <v>2.14</v>
      </c>
    </row>
    <row r="17" spans="4:13" x14ac:dyDescent="0.15">
      <c r="D17" s="384" t="s">
        <v>241</v>
      </c>
      <c r="E17" s="22" t="s">
        <v>237</v>
      </c>
      <c r="F17" s="24" t="s">
        <v>43</v>
      </c>
      <c r="G17" s="24" t="s">
        <v>43</v>
      </c>
      <c r="H17" s="24">
        <v>1</v>
      </c>
      <c r="I17" s="24">
        <v>2.8</v>
      </c>
      <c r="J17" s="24">
        <v>1</v>
      </c>
      <c r="K17" s="24">
        <v>2.8</v>
      </c>
      <c r="L17" s="24">
        <v>1</v>
      </c>
      <c r="M17" s="30">
        <v>2.8</v>
      </c>
    </row>
    <row r="18" spans="4:13" x14ac:dyDescent="0.15">
      <c r="D18" s="379"/>
      <c r="E18" s="22" t="s">
        <v>242</v>
      </c>
      <c r="F18" s="24" t="s">
        <v>43</v>
      </c>
      <c r="G18" s="24" t="s">
        <v>43</v>
      </c>
      <c r="H18" s="24">
        <v>1</v>
      </c>
      <c r="I18" s="24">
        <v>1.98</v>
      </c>
      <c r="J18" s="24">
        <v>1</v>
      </c>
      <c r="K18" s="24">
        <v>1.98</v>
      </c>
      <c r="L18" s="24">
        <v>1</v>
      </c>
      <c r="M18" s="30">
        <v>1.98</v>
      </c>
    </row>
    <row r="19" spans="4:13" x14ac:dyDescent="0.15">
      <c r="D19" s="385"/>
      <c r="E19" s="27" t="s">
        <v>243</v>
      </c>
      <c r="F19" s="28">
        <v>1</v>
      </c>
      <c r="G19" s="28">
        <v>19.16</v>
      </c>
      <c r="H19" s="28" t="s">
        <v>43</v>
      </c>
      <c r="I19" s="28" t="s">
        <v>43</v>
      </c>
      <c r="J19" s="28" t="s">
        <v>43</v>
      </c>
      <c r="K19" s="28" t="s">
        <v>43</v>
      </c>
      <c r="L19" s="28">
        <v>1</v>
      </c>
      <c r="M19" s="35">
        <v>19.16</v>
      </c>
    </row>
    <row r="29" spans="4:13" x14ac:dyDescent="0.15">
      <c r="G29" s="82">
        <v>0.06</v>
      </c>
    </row>
    <row r="30" spans="4:13" x14ac:dyDescent="0.15">
      <c r="G30" s="83">
        <v>4.5999999999999996</v>
      </c>
    </row>
    <row r="31" spans="4:13" x14ac:dyDescent="0.15">
      <c r="G31" s="84">
        <v>0.06</v>
      </c>
    </row>
    <row r="32" spans="4:13" x14ac:dyDescent="0.15">
      <c r="G32" s="84">
        <v>0.24</v>
      </c>
    </row>
    <row r="33" spans="7:7" x14ac:dyDescent="0.15">
      <c r="G33" s="82">
        <v>0.23</v>
      </c>
    </row>
    <row r="34" spans="7:7" x14ac:dyDescent="0.15">
      <c r="G34" s="85">
        <v>2.16</v>
      </c>
    </row>
    <row r="35" spans="7:7" x14ac:dyDescent="0.15">
      <c r="G35" s="83">
        <v>0.1</v>
      </c>
    </row>
    <row r="36" spans="7:7" x14ac:dyDescent="0.15">
      <c r="G36" s="84">
        <v>0.08</v>
      </c>
    </row>
    <row r="38" spans="7:7" x14ac:dyDescent="0.15">
      <c r="G38" s="84">
        <v>2.4</v>
      </c>
    </row>
  </sheetData>
  <mergeCells count="13">
    <mergeCell ref="D12:D14"/>
    <mergeCell ref="D15:D16"/>
    <mergeCell ref="D17:D19"/>
    <mergeCell ref="E9:E11"/>
    <mergeCell ref="G10:G11"/>
    <mergeCell ref="F9:G9"/>
    <mergeCell ref="H9:I9"/>
    <mergeCell ref="J9:K9"/>
    <mergeCell ref="L9:M9"/>
    <mergeCell ref="D9:D11"/>
    <mergeCell ref="I10:I11"/>
    <mergeCell ref="K10:K11"/>
    <mergeCell ref="M10:M11"/>
  </mergeCells>
  <phoneticPr fontId="2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4</vt:i4>
      </vt:variant>
    </vt:vector>
  </HeadingPairs>
  <TitlesOfParts>
    <vt:vector size="18" baseType="lpstr">
      <vt:lpstr>Macro1</vt:lpstr>
      <vt:lpstr>工程数量汇总表</vt:lpstr>
      <vt:lpstr>工程数量汇总表 (碳纤维板) (2)</vt:lpstr>
      <vt:lpstr>工程数量汇总表 (贴钢板)</vt:lpstr>
      <vt:lpstr>工程数量汇总表 (贴钢板) (8mm和6mm分开计列)</vt:lpstr>
      <vt:lpstr>Sheet6</vt:lpstr>
      <vt:lpstr>钢板</vt:lpstr>
      <vt:lpstr>Sheet5</vt:lpstr>
      <vt:lpstr>Sheet2</vt:lpstr>
      <vt:lpstr>Sheet4</vt:lpstr>
      <vt:lpstr>Sheet1</vt:lpstr>
      <vt:lpstr>病害统计</vt:lpstr>
      <vt:lpstr>Sheet3</vt:lpstr>
      <vt:lpstr>Sheet1 (2)</vt:lpstr>
      <vt:lpstr>工程数量汇总表!Print_Area</vt:lpstr>
      <vt:lpstr>'工程数量汇总表 (碳纤维板) (2)'!Print_Area</vt:lpstr>
      <vt:lpstr>'工程数量汇总表 (贴钢板)'!Print_Area</vt:lpstr>
      <vt:lpstr>'工程数量汇总表 (贴钢板) (8mm和6mm分开计列)'!Print_Area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Administrator</cp:lastModifiedBy>
  <cp:lastPrinted>2021-04-18T06:33:00Z</cp:lastPrinted>
  <dcterms:created xsi:type="dcterms:W3CDTF">2015-03-18T00:56:00Z</dcterms:created>
  <dcterms:modified xsi:type="dcterms:W3CDTF">2025-05-15T08:23:49Z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C4E325DB7638423A9A8D7383F1909FD4</vt:lpwstr>
  </property>
</Properties>
</file>