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F:\工作文件\2025项目\福利镇2025年基础设施建设项目\福利镇福利村委、务溪村委人居环境整治项目（分开雨污水，加污水量）2025.7.25\"/>
    </mc:Choice>
  </mc:AlternateContent>
  <xr:revisionPtr revIDLastSave="0" documentId="13_ncr:1_{E7C8BF5D-0BC7-4603-8DBE-05BB3DB54428}" xr6:coauthVersionLast="47" xr6:coauthVersionMax="47" xr10:uidLastSave="{00000000-0000-0000-0000-000000000000}"/>
  <bookViews>
    <workbookView xWindow="5010" yWindow="1695" windowWidth="17100" windowHeight="13605" xr2:uid="{00000000-000D-0000-FFFF-FFFF00000000}"/>
  </bookViews>
  <sheets>
    <sheet name="排水工程工程量总表" sheetId="3" r:id="rId1"/>
    <sheet name="管道" sheetId="31" r:id="rId2"/>
    <sheet name="雨水检查井20S515 " sheetId="22" state="hidden" r:id="rId3"/>
    <sheet name="钢筋砼污水检查井20S515 " sheetId="26" r:id="rId4"/>
    <sheet name="钢筋砼雨水三通井20S515" sheetId="27" state="hidden" r:id="rId5"/>
    <sheet name="雨水三通井20S515（砖砌） " sheetId="23" state="hidden" r:id="rId6"/>
    <sheet name="预制混凝土雨水口" sheetId="34" r:id="rId7"/>
    <sheet name="砼全包管" sheetId="29" r:id="rId8"/>
    <sheet name="雨污水共沟开挖段" sheetId="33" state="hidden" r:id="rId9"/>
  </sheets>
  <definedNames>
    <definedName name="_xlnm._FilterDatabase" localSheetId="1" hidden="1">管道!$A$7:$AJ$18</definedName>
    <definedName name="_xlnm._FilterDatabase" localSheetId="8" hidden="1">雨污水共沟开挖段!$A$6:$AK$7</definedName>
    <definedName name="_xlnm.Print_Area" localSheetId="3">'钢筋砼污水检查井20S515 '!$A$1:$AG$76</definedName>
    <definedName name="_xlnm.Print_Area" localSheetId="4">钢筋砼雨水三通井20S515!$A$1:$AG$31</definedName>
    <definedName name="_xlnm.Print_Area" localSheetId="1">管道!$A$1:$AD$51</definedName>
    <definedName name="_xlnm.Print_Area" localSheetId="0">排水工程工程量总表!$A$1:$K$33</definedName>
    <definedName name="_xlnm.Print_Area" localSheetId="2">'雨水检查井20S515 '!$A$1:$AE$71</definedName>
    <definedName name="_xlnm.Print_Area" localSheetId="5">'雨水三通井20S515（砖砌） '!$A$1:$AE$30</definedName>
    <definedName name="_xlnm.Print_Area" localSheetId="8">雨污水共沟开挖段!$A$1:$AA$37</definedName>
    <definedName name="_xlnm.Print_Area" localSheetId="6">预制混凝土雨水口!$A$1:$Q$12</definedName>
    <definedName name="_xlnm.Print_Titles" localSheetId="1">管道!$1:$7</definedName>
    <definedName name="_xlnm.Print_Titles" localSheetId="8">雨污水共沟开挖段!$1:$6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" l="1"/>
  <c r="C6" i="3"/>
  <c r="C10" i="3" l="1"/>
  <c r="C7" i="3"/>
  <c r="I9" i="3"/>
  <c r="I8" i="3"/>
  <c r="I6" i="3"/>
  <c r="I16" i="3" l="1"/>
  <c r="E8" i="29" l="1"/>
  <c r="G8" i="29"/>
  <c r="H8" i="29"/>
  <c r="I8" i="29"/>
  <c r="L8" i="29"/>
  <c r="O8" i="29" s="1"/>
  <c r="M8" i="29"/>
  <c r="AD10" i="31" l="1"/>
  <c r="AC10" i="31"/>
  <c r="E10" i="31"/>
  <c r="AK10" i="31" s="1"/>
  <c r="C10" i="31"/>
  <c r="R10" i="31" l="1"/>
  <c r="F10" i="31"/>
  <c r="N10" i="31" l="1"/>
  <c r="AF10" i="31"/>
  <c r="C14" i="3"/>
  <c r="C28" i="3"/>
  <c r="C16" i="3"/>
  <c r="C13" i="3"/>
  <c r="AJ10" i="31" l="1"/>
  <c r="S10" i="31" s="1"/>
  <c r="AB10" i="31" s="1"/>
  <c r="AG10" i="31"/>
  <c r="I10" i="3" l="1"/>
  <c r="AH10" i="31"/>
  <c r="Z10" i="31" s="1"/>
  <c r="C31" i="3"/>
  <c r="I13" i="3"/>
  <c r="C17" i="3"/>
  <c r="AI10" i="31" l="1"/>
  <c r="K10" i="34"/>
  <c r="O15" i="31"/>
  <c r="O34" i="31" s="1"/>
  <c r="AA10" i="31" l="1"/>
  <c r="X10" i="31"/>
  <c r="AM10" i="31"/>
  <c r="D8" i="34" l="1"/>
  <c r="E8" i="34"/>
  <c r="G8" i="34"/>
  <c r="H8" i="34"/>
  <c r="I8" i="34"/>
  <c r="J8" i="34"/>
  <c r="L8" i="34"/>
  <c r="M8" i="34"/>
  <c r="N8" i="34"/>
  <c r="P8" i="34"/>
  <c r="D9" i="34"/>
  <c r="E9" i="34"/>
  <c r="G9" i="34"/>
  <c r="H9" i="34"/>
  <c r="I9" i="34"/>
  <c r="J9" i="34"/>
  <c r="L9" i="34"/>
  <c r="M9" i="34"/>
  <c r="N9" i="34"/>
  <c r="P9" i="34"/>
  <c r="C10" i="34"/>
  <c r="F10" i="34"/>
  <c r="O10" i="34"/>
  <c r="AF14" i="34"/>
  <c r="AT14" i="34"/>
  <c r="E10" i="34" l="1"/>
  <c r="J10" i="34"/>
  <c r="L10" i="34"/>
  <c r="D10" i="34"/>
  <c r="N10" i="34"/>
  <c r="G10" i="34"/>
  <c r="M10" i="34"/>
  <c r="I10" i="34"/>
  <c r="P10" i="34"/>
  <c r="H10" i="34"/>
  <c r="D54" i="26" l="1"/>
  <c r="AR54" i="26"/>
  <c r="AP54" i="26"/>
  <c r="AM54" i="26"/>
  <c r="Q54" i="26" s="1"/>
  <c r="AE54" i="26"/>
  <c r="AC54" i="26"/>
  <c r="AD54" i="26" s="1"/>
  <c r="AB54" i="26"/>
  <c r="X54" i="26"/>
  <c r="W54" i="26"/>
  <c r="V54" i="26"/>
  <c r="U54" i="26"/>
  <c r="T54" i="26"/>
  <c r="S54" i="26"/>
  <c r="R54" i="26"/>
  <c r="P54" i="26"/>
  <c r="M54" i="26"/>
  <c r="K54" i="26"/>
  <c r="J54" i="26"/>
  <c r="I54" i="26"/>
  <c r="E54" i="26"/>
  <c r="M60" i="26"/>
  <c r="M61" i="26"/>
  <c r="M62" i="26"/>
  <c r="M59" i="26"/>
  <c r="M58" i="26"/>
  <c r="M57" i="26"/>
  <c r="N58" i="26"/>
  <c r="N59" i="26"/>
  <c r="N60" i="26"/>
  <c r="N61" i="26"/>
  <c r="N62" i="26"/>
  <c r="N57" i="26"/>
  <c r="L60" i="26"/>
  <c r="L62" i="26"/>
  <c r="L61" i="26"/>
  <c r="L59" i="26"/>
  <c r="L58" i="26"/>
  <c r="L57" i="26"/>
  <c r="E58" i="26"/>
  <c r="E59" i="26"/>
  <c r="E60" i="26"/>
  <c r="E61" i="26"/>
  <c r="E62" i="26"/>
  <c r="E57" i="26"/>
  <c r="D58" i="26"/>
  <c r="D59" i="26"/>
  <c r="D60" i="26"/>
  <c r="D61" i="26"/>
  <c r="D62" i="26"/>
  <c r="D57" i="26"/>
  <c r="AM57" i="26"/>
  <c r="Q57" i="26" s="1"/>
  <c r="AR57" i="26"/>
  <c r="AE57" i="26"/>
  <c r="AC57" i="26"/>
  <c r="AD57" i="26" s="1"/>
  <c r="AB57" i="26"/>
  <c r="AA57" i="26"/>
  <c r="Y57" i="26"/>
  <c r="X57" i="26"/>
  <c r="W57" i="26"/>
  <c r="V57" i="26"/>
  <c r="U57" i="26"/>
  <c r="T57" i="26"/>
  <c r="S57" i="26"/>
  <c r="R57" i="26"/>
  <c r="J57" i="26"/>
  <c r="H57" i="26"/>
  <c r="G57" i="26"/>
  <c r="F57" i="26"/>
  <c r="F58" i="26"/>
  <c r="G58" i="26"/>
  <c r="H58" i="26"/>
  <c r="J58" i="26"/>
  <c r="R58" i="26"/>
  <c r="S58" i="26"/>
  <c r="T58" i="26"/>
  <c r="U58" i="26"/>
  <c r="V58" i="26"/>
  <c r="W58" i="26"/>
  <c r="X58" i="26"/>
  <c r="Y58" i="26"/>
  <c r="AA58" i="26"/>
  <c r="AB58" i="26"/>
  <c r="AC58" i="26"/>
  <c r="AD58" i="26" s="1"/>
  <c r="AE58" i="26"/>
  <c r="AM58" i="26"/>
  <c r="AP58" i="26" s="1"/>
  <c r="AR58" i="26"/>
  <c r="F59" i="26"/>
  <c r="G59" i="26"/>
  <c r="H59" i="26"/>
  <c r="J59" i="26"/>
  <c r="R59" i="26"/>
  <c r="S59" i="26"/>
  <c r="T59" i="26"/>
  <c r="U59" i="26"/>
  <c r="V59" i="26"/>
  <c r="W59" i="26"/>
  <c r="X59" i="26"/>
  <c r="Y59" i="26"/>
  <c r="AA59" i="26"/>
  <c r="AB59" i="26"/>
  <c r="AC59" i="26"/>
  <c r="AD59" i="26" s="1"/>
  <c r="AE59" i="26"/>
  <c r="AM59" i="26"/>
  <c r="AO59" i="26" s="1"/>
  <c r="AR59" i="26"/>
  <c r="F60" i="26"/>
  <c r="G60" i="26"/>
  <c r="H60" i="26"/>
  <c r="J60" i="26"/>
  <c r="R60" i="26"/>
  <c r="S60" i="26"/>
  <c r="T60" i="26"/>
  <c r="U60" i="26"/>
  <c r="V60" i="26"/>
  <c r="W60" i="26"/>
  <c r="X60" i="26"/>
  <c r="Y60" i="26"/>
  <c r="AA60" i="26"/>
  <c r="AB60" i="26"/>
  <c r="AC60" i="26"/>
  <c r="AE60" i="26"/>
  <c r="AM60" i="26"/>
  <c r="AO60" i="26" s="1"/>
  <c r="AR60" i="26"/>
  <c r="F61" i="26"/>
  <c r="G61" i="26"/>
  <c r="H61" i="26"/>
  <c r="J61" i="26"/>
  <c r="R61" i="26"/>
  <c r="S61" i="26"/>
  <c r="T61" i="26"/>
  <c r="U61" i="26"/>
  <c r="V61" i="26"/>
  <c r="W61" i="26"/>
  <c r="X61" i="26"/>
  <c r="Y61" i="26"/>
  <c r="AA61" i="26"/>
  <c r="AB61" i="26"/>
  <c r="AC61" i="26"/>
  <c r="AD61" i="26" s="1"/>
  <c r="AE61" i="26"/>
  <c r="AM61" i="26"/>
  <c r="AP61" i="26" s="1"/>
  <c r="AR61" i="26"/>
  <c r="F62" i="26"/>
  <c r="G62" i="26"/>
  <c r="H62" i="26"/>
  <c r="J62" i="26"/>
  <c r="R62" i="26"/>
  <c r="S62" i="26"/>
  <c r="T62" i="26"/>
  <c r="U62" i="26"/>
  <c r="V62" i="26"/>
  <c r="W62" i="26"/>
  <c r="X62" i="26"/>
  <c r="Y62" i="26"/>
  <c r="AA62" i="26"/>
  <c r="AB62" i="26"/>
  <c r="AC62" i="26"/>
  <c r="AD62" i="26" s="1"/>
  <c r="AE62" i="26"/>
  <c r="AM62" i="26"/>
  <c r="AO62" i="26" s="1"/>
  <c r="K62" i="26" s="1"/>
  <c r="AR62" i="26"/>
  <c r="I63" i="26"/>
  <c r="Z63" i="26"/>
  <c r="C7" i="33"/>
  <c r="E7" i="33"/>
  <c r="F7" i="33" s="1"/>
  <c r="N7" i="33"/>
  <c r="AH7" i="33" s="1"/>
  <c r="V7" i="33"/>
  <c r="Z7" i="33" s="1"/>
  <c r="Y7" i="33"/>
  <c r="AJ7" i="33"/>
  <c r="AK7" i="33"/>
  <c r="C8" i="33"/>
  <c r="E8" i="33"/>
  <c r="AF8" i="33" s="1"/>
  <c r="J8" i="33"/>
  <c r="N8" i="33"/>
  <c r="AJ8" i="33" s="1"/>
  <c r="P8" i="33"/>
  <c r="AK8" i="33" s="1"/>
  <c r="V8" i="33"/>
  <c r="Z8" i="33" s="1"/>
  <c r="Y8" i="33"/>
  <c r="AC8" i="33"/>
  <c r="AG8" i="33" s="1"/>
  <c r="AH8" i="33"/>
  <c r="AI8" i="33"/>
  <c r="C9" i="33"/>
  <c r="E9" i="33"/>
  <c r="AE9" i="33" s="1"/>
  <c r="J9" i="33"/>
  <c r="N9" i="33"/>
  <c r="AH9" i="33" s="1"/>
  <c r="V9" i="33"/>
  <c r="Z9" i="33" s="1"/>
  <c r="X9" i="33"/>
  <c r="Y9" i="33"/>
  <c r="AD9" i="33"/>
  <c r="AF9" i="33"/>
  <c r="AJ9" i="33"/>
  <c r="AK9" i="33"/>
  <c r="C10" i="33"/>
  <c r="E10" i="33"/>
  <c r="AF10" i="33" s="1"/>
  <c r="J10" i="33"/>
  <c r="N10" i="33"/>
  <c r="AJ10" i="33" s="1"/>
  <c r="P10" i="33"/>
  <c r="AK10" i="33" s="1"/>
  <c r="V10" i="33"/>
  <c r="X10" i="33"/>
  <c r="Y10" i="33"/>
  <c r="AC10" i="33"/>
  <c r="AH10" i="33"/>
  <c r="AI10" i="33"/>
  <c r="C11" i="33"/>
  <c r="E11" i="33"/>
  <c r="AD11" i="33" s="1"/>
  <c r="J11" i="33"/>
  <c r="N11" i="33"/>
  <c r="AH11" i="33" s="1"/>
  <c r="V11" i="33"/>
  <c r="X11" i="33"/>
  <c r="Y11" i="33"/>
  <c r="AJ11" i="33"/>
  <c r="AK11" i="33"/>
  <c r="C12" i="33"/>
  <c r="E12" i="33"/>
  <c r="AF12" i="33" s="1"/>
  <c r="J12" i="33"/>
  <c r="N12" i="33"/>
  <c r="P12" i="33"/>
  <c r="V12" i="33"/>
  <c r="X12" i="33"/>
  <c r="Y12" i="33"/>
  <c r="AC12" i="33"/>
  <c r="AH12" i="33"/>
  <c r="AI12" i="33"/>
  <c r="AJ12" i="33"/>
  <c r="AK12" i="33"/>
  <c r="L14" i="33"/>
  <c r="W14" i="33"/>
  <c r="N26" i="33"/>
  <c r="B27" i="33"/>
  <c r="N35" i="33"/>
  <c r="Z12" i="33" l="1"/>
  <c r="T8" i="33"/>
  <c r="F54" i="26"/>
  <c r="Y54" i="26"/>
  <c r="AA54" i="26"/>
  <c r="L54" i="26"/>
  <c r="AF54" i="26"/>
  <c r="N54" i="26"/>
  <c r="O54" i="26"/>
  <c r="AD10" i="33"/>
  <c r="AP60" i="26"/>
  <c r="AF60" i="26" s="1"/>
  <c r="AG10" i="33"/>
  <c r="F9" i="33"/>
  <c r="T63" i="26"/>
  <c r="AE7" i="33"/>
  <c r="AD7" i="33"/>
  <c r="AF11" i="33"/>
  <c r="Z11" i="33"/>
  <c r="AE8" i="33"/>
  <c r="AG12" i="33"/>
  <c r="F11" i="33"/>
  <c r="AC11" i="33" s="1"/>
  <c r="AG11" i="33" s="1"/>
  <c r="AD8" i="33"/>
  <c r="AP62" i="26"/>
  <c r="AF62" i="26" s="1"/>
  <c r="J63" i="26"/>
  <c r="S63" i="26"/>
  <c r="Y63" i="26"/>
  <c r="O57" i="26"/>
  <c r="AO57" i="26"/>
  <c r="AP57" i="26"/>
  <c r="AF57" i="26" s="1"/>
  <c r="K60" i="26"/>
  <c r="P60" i="26"/>
  <c r="K59" i="26"/>
  <c r="P59" i="26"/>
  <c r="O62" i="26"/>
  <c r="H63" i="26"/>
  <c r="AE63" i="26"/>
  <c r="X63" i="26"/>
  <c r="R63" i="26"/>
  <c r="W63" i="26"/>
  <c r="Q59" i="26"/>
  <c r="F63" i="26"/>
  <c r="G63" i="26"/>
  <c r="V63" i="26"/>
  <c r="AA63" i="26"/>
  <c r="Q62" i="26"/>
  <c r="AC63" i="26"/>
  <c r="O60" i="26"/>
  <c r="AP59" i="26"/>
  <c r="AF59" i="26" s="1"/>
  <c r="AB63" i="26"/>
  <c r="U63" i="26"/>
  <c r="O59" i="26"/>
  <c r="V14" i="33"/>
  <c r="N17" i="33" s="1"/>
  <c r="Z10" i="33"/>
  <c r="Z14" i="33" s="1"/>
  <c r="X14" i="33"/>
  <c r="Y14" i="33"/>
  <c r="N34" i="33" s="1"/>
  <c r="AO61" i="26"/>
  <c r="O61" i="26"/>
  <c r="AD60" i="26"/>
  <c r="AD63" i="26" s="1"/>
  <c r="Q60" i="26"/>
  <c r="AO58" i="26"/>
  <c r="O58" i="26"/>
  <c r="AF61" i="26"/>
  <c r="AF58" i="26"/>
  <c r="P62" i="26"/>
  <c r="Q61" i="26"/>
  <c r="Q58" i="26"/>
  <c r="P9" i="33"/>
  <c r="AI9" i="33" s="1"/>
  <c r="AC9" i="33"/>
  <c r="AG9" i="33" s="1"/>
  <c r="AC7" i="33"/>
  <c r="AG7" i="33" s="1"/>
  <c r="P7" i="33"/>
  <c r="AI7" i="33" s="1"/>
  <c r="AE12" i="33"/>
  <c r="AE11" i="33"/>
  <c r="AD12" i="33"/>
  <c r="AE10" i="33"/>
  <c r="AF7" i="33"/>
  <c r="N14" i="33"/>
  <c r="N32" i="33" s="1"/>
  <c r="P11" i="33" l="1"/>
  <c r="AI11" i="33" s="1"/>
  <c r="P57" i="26"/>
  <c r="K57" i="26"/>
  <c r="AF63" i="26"/>
  <c r="Q63" i="26"/>
  <c r="P58" i="26"/>
  <c r="K58" i="26"/>
  <c r="P61" i="26"/>
  <c r="K61" i="26"/>
  <c r="O63" i="26"/>
  <c r="P63" i="26" l="1"/>
  <c r="K63" i="26"/>
  <c r="C26" i="3" l="1"/>
  <c r="C25" i="3"/>
  <c r="C24" i="3"/>
  <c r="C23" i="3"/>
  <c r="C22" i="3"/>
  <c r="C21" i="3"/>
  <c r="C18" i="3"/>
  <c r="C19" i="3"/>
  <c r="C20" i="3"/>
  <c r="G55" i="26"/>
  <c r="H55" i="26"/>
  <c r="Z55" i="26"/>
  <c r="B55" i="26"/>
  <c r="N43" i="26"/>
  <c r="AR43" i="26"/>
  <c r="Q43" i="26"/>
  <c r="AE43" i="26"/>
  <c r="AC43" i="26"/>
  <c r="AD43" i="26" s="1"/>
  <c r="AB43" i="26"/>
  <c r="T43" i="26"/>
  <c r="S43" i="26"/>
  <c r="R43" i="26"/>
  <c r="P43" i="26"/>
  <c r="O43" i="26"/>
  <c r="J43" i="26"/>
  <c r="I43" i="26"/>
  <c r="I11" i="3" l="1"/>
  <c r="AN43" i="26"/>
  <c r="AP43" i="26"/>
  <c r="AF43" i="26" s="1"/>
  <c r="I12" i="3" l="1"/>
  <c r="M14" i="31" l="1"/>
  <c r="M12" i="31"/>
  <c r="AD16" i="31"/>
  <c r="M16" i="31"/>
  <c r="J16" i="31"/>
  <c r="E16" i="31"/>
  <c r="AK16" i="31" s="1"/>
  <c r="C16" i="31"/>
  <c r="R16" i="31" l="1"/>
  <c r="F16" i="31"/>
  <c r="AF16" i="31" l="1"/>
  <c r="N16" i="31"/>
  <c r="AG16" i="31" l="1"/>
  <c r="AJ16" i="31"/>
  <c r="T16" i="31" s="1"/>
  <c r="Y34" i="31"/>
  <c r="N42" i="31" s="1"/>
  <c r="W34" i="31"/>
  <c r="N39" i="31" s="1"/>
  <c r="N47" i="31" s="1"/>
  <c r="V34" i="31"/>
  <c r="U34" i="31"/>
  <c r="L34" i="31"/>
  <c r="AK30" i="31"/>
  <c r="R30" i="31"/>
  <c r="O30" i="31"/>
  <c r="J30" i="31"/>
  <c r="I30" i="31"/>
  <c r="G30" i="31"/>
  <c r="C30" i="31"/>
  <c r="AK29" i="31"/>
  <c r="O29" i="31"/>
  <c r="J29" i="31"/>
  <c r="I29" i="31"/>
  <c r="H29" i="31"/>
  <c r="R29" i="31" s="1"/>
  <c r="G29" i="31"/>
  <c r="C29" i="31"/>
  <c r="O28" i="31"/>
  <c r="J28" i="31"/>
  <c r="I28" i="31"/>
  <c r="H28" i="31"/>
  <c r="G28" i="31"/>
  <c r="E28" i="31"/>
  <c r="AK28" i="31" s="1"/>
  <c r="C28" i="31"/>
  <c r="O27" i="31"/>
  <c r="J27" i="31"/>
  <c r="I27" i="31"/>
  <c r="H27" i="31"/>
  <c r="G27" i="31"/>
  <c r="E27" i="31"/>
  <c r="AK27" i="31" s="1"/>
  <c r="C27" i="31"/>
  <c r="O26" i="31"/>
  <c r="J26" i="31"/>
  <c r="I26" i="31"/>
  <c r="H26" i="31"/>
  <c r="G26" i="31"/>
  <c r="E26" i="31"/>
  <c r="AK26" i="31" s="1"/>
  <c r="C26" i="31"/>
  <c r="O25" i="31"/>
  <c r="J25" i="31"/>
  <c r="I25" i="31"/>
  <c r="H25" i="31"/>
  <c r="G25" i="31"/>
  <c r="E25" i="31"/>
  <c r="AK25" i="31" s="1"/>
  <c r="C25" i="31"/>
  <c r="O24" i="31"/>
  <c r="J24" i="31"/>
  <c r="I24" i="31"/>
  <c r="H24" i="31"/>
  <c r="G24" i="31"/>
  <c r="E24" i="31"/>
  <c r="AK24" i="31" s="1"/>
  <c r="C24" i="31"/>
  <c r="O23" i="31"/>
  <c r="J23" i="31"/>
  <c r="I23" i="31"/>
  <c r="H23" i="31"/>
  <c r="G23" i="31"/>
  <c r="E23" i="31"/>
  <c r="AK23" i="31" s="1"/>
  <c r="C23" i="31"/>
  <c r="O22" i="31"/>
  <c r="J22" i="31"/>
  <c r="I22" i="31"/>
  <c r="H22" i="31"/>
  <c r="G22" i="31"/>
  <c r="E22" i="31"/>
  <c r="AK22" i="31" s="1"/>
  <c r="C22" i="31"/>
  <c r="O21" i="31"/>
  <c r="J21" i="31"/>
  <c r="I21" i="31"/>
  <c r="H21" i="31"/>
  <c r="G21" i="31"/>
  <c r="E21" i="31"/>
  <c r="AK21" i="31" s="1"/>
  <c r="C21" i="31"/>
  <c r="O20" i="31"/>
  <c r="J20" i="31"/>
  <c r="I20" i="31"/>
  <c r="H20" i="31"/>
  <c r="G20" i="31"/>
  <c r="E20" i="31"/>
  <c r="AK20" i="31" s="1"/>
  <c r="C20" i="31"/>
  <c r="AD17" i="31"/>
  <c r="M17" i="31"/>
  <c r="J17" i="31"/>
  <c r="E17" i="31"/>
  <c r="C17" i="31"/>
  <c r="AD15" i="31"/>
  <c r="M15" i="31"/>
  <c r="J15" i="31"/>
  <c r="E15" i="31"/>
  <c r="AK15" i="31" s="1"/>
  <c r="C15" i="31"/>
  <c r="AD14" i="31"/>
  <c r="J14" i="31"/>
  <c r="E14" i="31"/>
  <c r="AK14" i="31" s="1"/>
  <c r="C14" i="31"/>
  <c r="AD12" i="31"/>
  <c r="J12" i="31"/>
  <c r="E12" i="31"/>
  <c r="AK12" i="31" s="1"/>
  <c r="C12" i="31"/>
  <c r="AD9" i="31"/>
  <c r="M9" i="31"/>
  <c r="J9" i="31"/>
  <c r="E9" i="31"/>
  <c r="AK9" i="31" s="1"/>
  <c r="C9" i="31"/>
  <c r="AD8" i="31"/>
  <c r="M8" i="31"/>
  <c r="J8" i="31"/>
  <c r="E8" i="31"/>
  <c r="AK8" i="31" s="1"/>
  <c r="C8" i="31"/>
  <c r="S16" i="31" l="1"/>
  <c r="AC16" i="31"/>
  <c r="AH16" i="31"/>
  <c r="AL21" i="31"/>
  <c r="R17" i="31"/>
  <c r="AL22" i="31"/>
  <c r="AL28" i="31"/>
  <c r="AL29" i="31"/>
  <c r="R9" i="31"/>
  <c r="R12" i="31"/>
  <c r="R14" i="31"/>
  <c r="AL24" i="31"/>
  <c r="AL30" i="31"/>
  <c r="AL25" i="31"/>
  <c r="F30" i="31"/>
  <c r="AF30" i="31" s="1"/>
  <c r="AG30" i="31" s="1"/>
  <c r="AH30" i="31" s="1"/>
  <c r="AI30" i="31" s="1"/>
  <c r="R20" i="31"/>
  <c r="AL20" i="31"/>
  <c r="AL23" i="31"/>
  <c r="AL26" i="31"/>
  <c r="F12" i="31"/>
  <c r="N12" i="31" s="1"/>
  <c r="F14" i="31"/>
  <c r="AF14" i="31" s="1"/>
  <c r="R21" i="31"/>
  <c r="R24" i="31"/>
  <c r="R27" i="31"/>
  <c r="AL27" i="31"/>
  <c r="R22" i="31"/>
  <c r="R25" i="31"/>
  <c r="R28" i="31"/>
  <c r="R23" i="31"/>
  <c r="R26" i="31"/>
  <c r="F9" i="31"/>
  <c r="N9" i="31" s="1"/>
  <c r="F8" i="31"/>
  <c r="N8" i="31" s="1"/>
  <c r="F17" i="31"/>
  <c r="AK17" i="31"/>
  <c r="R15" i="31"/>
  <c r="F20" i="31"/>
  <c r="F22" i="31"/>
  <c r="F24" i="31"/>
  <c r="F26" i="31"/>
  <c r="F28" i="31"/>
  <c r="R8" i="31"/>
  <c r="F15" i="31"/>
  <c r="F29" i="31"/>
  <c r="F21" i="31"/>
  <c r="F23" i="31"/>
  <c r="F25" i="31"/>
  <c r="F27" i="31"/>
  <c r="AF15" i="31" l="1"/>
  <c r="N15" i="31"/>
  <c r="N14" i="31"/>
  <c r="AI16" i="31"/>
  <c r="Z16" i="31"/>
  <c r="N30" i="31"/>
  <c r="AA30" i="31" s="1"/>
  <c r="AJ30" i="31"/>
  <c r="S30" i="31" s="1"/>
  <c r="AF9" i="31"/>
  <c r="AF12" i="31"/>
  <c r="AF8" i="31"/>
  <c r="AF29" i="31"/>
  <c r="N29" i="31"/>
  <c r="AF28" i="31"/>
  <c r="N28" i="31"/>
  <c r="AF27" i="31"/>
  <c r="N27" i="31"/>
  <c r="AF26" i="31"/>
  <c r="N26" i="31"/>
  <c r="AG14" i="31"/>
  <c r="AJ14" i="31"/>
  <c r="S14" i="31" s="1"/>
  <c r="AF25" i="31"/>
  <c r="N25" i="31"/>
  <c r="AF24" i="31"/>
  <c r="N24" i="31"/>
  <c r="AF23" i="31"/>
  <c r="N23" i="31"/>
  <c r="AF22" i="31"/>
  <c r="N22" i="31"/>
  <c r="AF21" i="31"/>
  <c r="N21" i="31"/>
  <c r="AF20" i="31"/>
  <c r="N20" i="31"/>
  <c r="N17" i="31"/>
  <c r="AF17" i="31"/>
  <c r="AJ9" i="31" l="1"/>
  <c r="AG15" i="31"/>
  <c r="AH15" i="31" s="1"/>
  <c r="AJ15" i="31"/>
  <c r="T15" i="31" s="1"/>
  <c r="T14" i="31"/>
  <c r="AC14" i="31" s="1"/>
  <c r="AJ12" i="31"/>
  <c r="S12" i="31" s="1"/>
  <c r="AB12" i="31" s="1"/>
  <c r="AG9" i="31"/>
  <c r="AH9" i="31" s="1"/>
  <c r="Z9" i="31" s="1"/>
  <c r="AC9" i="31"/>
  <c r="X16" i="31"/>
  <c r="AB16" i="31" s="1"/>
  <c r="AM16" i="31"/>
  <c r="X30" i="31"/>
  <c r="AB30" i="31" s="1"/>
  <c r="AA16" i="31"/>
  <c r="AG12" i="31"/>
  <c r="AH12" i="31" s="1"/>
  <c r="Z12" i="31" s="1"/>
  <c r="N34" i="31"/>
  <c r="N48" i="31" s="1"/>
  <c r="AJ8" i="31"/>
  <c r="AG8" i="31"/>
  <c r="AJ25" i="31"/>
  <c r="S25" i="31" s="1"/>
  <c r="AG25" i="31"/>
  <c r="AH25" i="31" s="1"/>
  <c r="AI25" i="31" s="1"/>
  <c r="AJ23" i="31"/>
  <c r="S23" i="31" s="1"/>
  <c r="AG23" i="31"/>
  <c r="AH23" i="31" s="1"/>
  <c r="AI23" i="31" s="1"/>
  <c r="AG26" i="31"/>
  <c r="AH26" i="31" s="1"/>
  <c r="AI26" i="31" s="1"/>
  <c r="AA26" i="31" s="1"/>
  <c r="AJ26" i="31"/>
  <c r="S26" i="31" s="1"/>
  <c r="AG20" i="31"/>
  <c r="AH20" i="31" s="1"/>
  <c r="AI20" i="31" s="1"/>
  <c r="AJ20" i="31"/>
  <c r="S20" i="31" s="1"/>
  <c r="AG24" i="31"/>
  <c r="AH24" i="31" s="1"/>
  <c r="AI24" i="31" s="1"/>
  <c r="AA24" i="31" s="1"/>
  <c r="AJ24" i="31"/>
  <c r="S24" i="31" s="1"/>
  <c r="AG28" i="31"/>
  <c r="AH28" i="31" s="1"/>
  <c r="AI28" i="31" s="1"/>
  <c r="AA28" i="31" s="1"/>
  <c r="AJ28" i="31"/>
  <c r="S28" i="31" s="1"/>
  <c r="AG22" i="31"/>
  <c r="AH22" i="31" s="1"/>
  <c r="AI22" i="31" s="1"/>
  <c r="AA22" i="31" s="1"/>
  <c r="AJ22" i="31"/>
  <c r="S22" i="31" s="1"/>
  <c r="AH14" i="31"/>
  <c r="AJ27" i="31"/>
  <c r="S27" i="31" s="1"/>
  <c r="AG27" i="31"/>
  <c r="AH27" i="31" s="1"/>
  <c r="AI27" i="31" s="1"/>
  <c r="AA27" i="31" s="1"/>
  <c r="AG17" i="31"/>
  <c r="AJ17" i="31"/>
  <c r="S17" i="31" s="1"/>
  <c r="AJ21" i="31"/>
  <c r="S21" i="31" s="1"/>
  <c r="AG21" i="31"/>
  <c r="AH21" i="31" s="1"/>
  <c r="AI21" i="31" s="1"/>
  <c r="AG29" i="31"/>
  <c r="AH29" i="31" s="1"/>
  <c r="AI29" i="31" s="1"/>
  <c r="AA29" i="31" s="1"/>
  <c r="AJ29" i="31"/>
  <c r="S29" i="31" s="1"/>
  <c r="S9" i="31" l="1"/>
  <c r="AB9" i="31" s="1"/>
  <c r="S8" i="31"/>
  <c r="AB8" i="31" s="1"/>
  <c r="AI15" i="31"/>
  <c r="AM15" i="31" s="1"/>
  <c r="T17" i="31"/>
  <c r="AC17" i="31" s="1"/>
  <c r="AC12" i="31"/>
  <c r="S15" i="31"/>
  <c r="AC8" i="31"/>
  <c r="X25" i="31"/>
  <c r="AB25" i="31" s="1"/>
  <c r="AC15" i="31"/>
  <c r="X20" i="31"/>
  <c r="AB20" i="31" s="1"/>
  <c r="X29" i="31"/>
  <c r="AB29" i="31" s="1"/>
  <c r="X22" i="31"/>
  <c r="AB22" i="31" s="1"/>
  <c r="AA25" i="31"/>
  <c r="X21" i="31"/>
  <c r="AB21" i="31" s="1"/>
  <c r="X23" i="31"/>
  <c r="AB23" i="31" s="1"/>
  <c r="AH8" i="31"/>
  <c r="Z8" i="31" s="1"/>
  <c r="AH17" i="31"/>
  <c r="Z17" i="31" s="1"/>
  <c r="AA21" i="31"/>
  <c r="AI9" i="31"/>
  <c r="X9" i="31" s="1"/>
  <c r="AA20" i="31"/>
  <c r="X26" i="31"/>
  <c r="AB26" i="31" s="1"/>
  <c r="AI14" i="31"/>
  <c r="AA23" i="31"/>
  <c r="AI12" i="31"/>
  <c r="Z15" i="31"/>
  <c r="Z14" i="31"/>
  <c r="X24" i="31"/>
  <c r="AB24" i="31" s="1"/>
  <c r="X27" i="31"/>
  <c r="AB27" i="31" s="1"/>
  <c r="X28" i="31"/>
  <c r="AB28" i="31" s="1"/>
  <c r="AA15" i="31" l="1"/>
  <c r="AM9" i="31"/>
  <c r="X12" i="31"/>
  <c r="AM12" i="31"/>
  <c r="X14" i="31"/>
  <c r="AB14" i="31" s="1"/>
  <c r="AM14" i="31"/>
  <c r="AA12" i="31"/>
  <c r="S34" i="31"/>
  <c r="N36" i="31" s="1"/>
  <c r="AA9" i="31"/>
  <c r="AI8" i="31"/>
  <c r="X8" i="31" s="1"/>
  <c r="Z34" i="31"/>
  <c r="N49" i="31" s="1"/>
  <c r="AC34" i="31"/>
  <c r="N45" i="31" s="1"/>
  <c r="N37" i="31"/>
  <c r="AI17" i="31"/>
  <c r="AA14" i="31"/>
  <c r="X15" i="31" l="1"/>
  <c r="AB15" i="31" s="1"/>
  <c r="X17" i="31"/>
  <c r="AB17" i="31" s="1"/>
  <c r="AM17" i="31"/>
  <c r="AM8" i="31"/>
  <c r="AA17" i="31"/>
  <c r="AA8" i="31"/>
  <c r="AM18" i="31" l="1"/>
  <c r="AB34" i="31"/>
  <c r="N44" i="31" s="1"/>
  <c r="X34" i="31"/>
  <c r="N41" i="31" s="1"/>
  <c r="AA34" i="31"/>
  <c r="N50" i="31" s="1"/>
  <c r="N9" i="29"/>
  <c r="K9" i="29"/>
  <c r="J9" i="29"/>
  <c r="F9" i="29"/>
  <c r="D9" i="29"/>
  <c r="M7" i="29"/>
  <c r="L7" i="29"/>
  <c r="O7" i="29" s="1"/>
  <c r="I7" i="29"/>
  <c r="H7" i="29"/>
  <c r="G7" i="29" s="1"/>
  <c r="E7" i="29"/>
  <c r="E9" i="29" l="1"/>
  <c r="M9" i="29"/>
  <c r="G9" i="29"/>
  <c r="I9" i="29"/>
  <c r="O9" i="29"/>
  <c r="L9" i="29"/>
  <c r="H9" i="29"/>
  <c r="F18" i="27" l="1"/>
  <c r="E29" i="27"/>
  <c r="M29" i="27"/>
  <c r="M28" i="27"/>
  <c r="M27" i="27"/>
  <c r="M26" i="27"/>
  <c r="M25" i="27"/>
  <c r="M24" i="27"/>
  <c r="M23" i="27"/>
  <c r="M22" i="27"/>
  <c r="M21" i="27"/>
  <c r="M18" i="27"/>
  <c r="M17" i="27"/>
  <c r="M16" i="27"/>
  <c r="M15" i="27"/>
  <c r="M14" i="27"/>
  <c r="M13" i="27"/>
  <c r="M12" i="27"/>
  <c r="M11" i="27"/>
  <c r="M10" i="27"/>
  <c r="L29" i="27"/>
  <c r="L28" i="27"/>
  <c r="L27" i="27"/>
  <c r="L18" i="27"/>
  <c r="L17" i="27"/>
  <c r="L16" i="27"/>
  <c r="L15" i="27"/>
  <c r="L26" i="27"/>
  <c r="L25" i="27"/>
  <c r="L24" i="27"/>
  <c r="L14" i="27"/>
  <c r="L13" i="27"/>
  <c r="L23" i="27"/>
  <c r="L12" i="27"/>
  <c r="L22" i="27"/>
  <c r="L11" i="27"/>
  <c r="L21" i="27"/>
  <c r="L10" i="27"/>
  <c r="K29" i="27"/>
  <c r="K25" i="27"/>
  <c r="K24" i="27"/>
  <c r="K28" i="27"/>
  <c r="K27" i="27"/>
  <c r="K26" i="27"/>
  <c r="K23" i="27"/>
  <c r="K22" i="27"/>
  <c r="K21" i="27"/>
  <c r="K18" i="27"/>
  <c r="K17" i="27"/>
  <c r="K16" i="27"/>
  <c r="K15" i="27"/>
  <c r="K14" i="27"/>
  <c r="K13" i="27"/>
  <c r="K12" i="27"/>
  <c r="K11" i="27"/>
  <c r="K10" i="27"/>
  <c r="F29" i="27"/>
  <c r="F28" i="27"/>
  <c r="F17" i="27"/>
  <c r="F27" i="27"/>
  <c r="F16" i="27"/>
  <c r="F26" i="27"/>
  <c r="F15" i="27"/>
  <c r="F14" i="27"/>
  <c r="F25" i="27"/>
  <c r="F24" i="27"/>
  <c r="F13" i="27"/>
  <c r="F23" i="27"/>
  <c r="F12" i="27"/>
  <c r="F22" i="27"/>
  <c r="F11" i="27"/>
  <c r="F21" i="27"/>
  <c r="F10" i="27"/>
  <c r="E28" i="27"/>
  <c r="E27" i="27"/>
  <c r="E25" i="27"/>
  <c r="E24" i="27"/>
  <c r="E26" i="27"/>
  <c r="E23" i="27"/>
  <c r="E22" i="27"/>
  <c r="E21" i="27"/>
  <c r="E18" i="27"/>
  <c r="E17" i="27"/>
  <c r="E16" i="27"/>
  <c r="E15" i="27"/>
  <c r="E14" i="27"/>
  <c r="E13" i="27"/>
  <c r="E12" i="27"/>
  <c r="E11" i="27"/>
  <c r="E10" i="27"/>
  <c r="D29" i="27"/>
  <c r="D25" i="27"/>
  <c r="D24" i="27"/>
  <c r="D28" i="27"/>
  <c r="D27" i="27"/>
  <c r="D26" i="27"/>
  <c r="D23" i="27"/>
  <c r="D22" i="27"/>
  <c r="D21" i="27"/>
  <c r="G30" i="27"/>
  <c r="H30" i="27"/>
  <c r="Z30" i="27"/>
  <c r="B30" i="27"/>
  <c r="AR29" i="27"/>
  <c r="AP29" i="27"/>
  <c r="AM29" i="27"/>
  <c r="Q29" i="27" s="1"/>
  <c r="AE29" i="27"/>
  <c r="AC29" i="27"/>
  <c r="AD29" i="27" s="1"/>
  <c r="AB29" i="27"/>
  <c r="X29" i="27"/>
  <c r="W29" i="27"/>
  <c r="V29" i="27"/>
  <c r="U29" i="27"/>
  <c r="T29" i="27"/>
  <c r="S29" i="27"/>
  <c r="R29" i="27"/>
  <c r="P29" i="27"/>
  <c r="J29" i="27"/>
  <c r="I29" i="27"/>
  <c r="D18" i="27"/>
  <c r="D17" i="27"/>
  <c r="D16" i="27"/>
  <c r="D15" i="27"/>
  <c r="D14" i="27"/>
  <c r="D13" i="27"/>
  <c r="D12" i="27"/>
  <c r="D11" i="27"/>
  <c r="D10" i="27"/>
  <c r="M27" i="26"/>
  <c r="M26" i="26"/>
  <c r="M25" i="26"/>
  <c r="M24" i="26"/>
  <c r="M23" i="26"/>
  <c r="M22" i="26"/>
  <c r="M21" i="26"/>
  <c r="L27" i="26"/>
  <c r="L26" i="26"/>
  <c r="L25" i="26"/>
  <c r="L22" i="26"/>
  <c r="L23" i="26"/>
  <c r="L24" i="26"/>
  <c r="L21" i="26"/>
  <c r="K27" i="26"/>
  <c r="K26" i="26"/>
  <c r="K25" i="26"/>
  <c r="K24" i="26"/>
  <c r="K23" i="26"/>
  <c r="K22" i="26"/>
  <c r="AR28" i="27"/>
  <c r="AP28" i="27"/>
  <c r="AM28" i="27"/>
  <c r="AN28" i="27" s="1"/>
  <c r="AE28" i="27"/>
  <c r="AC28" i="27"/>
  <c r="AD28" i="27" s="1"/>
  <c r="AB28" i="27"/>
  <c r="X28" i="27"/>
  <c r="W28" i="27"/>
  <c r="V28" i="27"/>
  <c r="U28" i="27"/>
  <c r="T28" i="27"/>
  <c r="S28" i="27"/>
  <c r="R28" i="27"/>
  <c r="P28" i="27"/>
  <c r="J28" i="27"/>
  <c r="I28" i="27"/>
  <c r="AR27" i="27"/>
  <c r="AP27" i="27"/>
  <c r="AM27" i="27"/>
  <c r="AA27" i="27" s="1"/>
  <c r="AE27" i="27"/>
  <c r="AC27" i="27"/>
  <c r="AD27" i="27" s="1"/>
  <c r="AB27" i="27"/>
  <c r="X27" i="27"/>
  <c r="W27" i="27"/>
  <c r="V27" i="27"/>
  <c r="U27" i="27"/>
  <c r="T27" i="27"/>
  <c r="S27" i="27"/>
  <c r="R27" i="27"/>
  <c r="P27" i="27"/>
  <c r="J27" i="27"/>
  <c r="I27" i="27"/>
  <c r="AR26" i="27"/>
  <c r="AP26" i="27"/>
  <c r="AM26" i="27"/>
  <c r="AN26" i="27" s="1"/>
  <c r="AE26" i="27"/>
  <c r="AC26" i="27"/>
  <c r="AD26" i="27" s="1"/>
  <c r="AB26" i="27"/>
  <c r="X26" i="27"/>
  <c r="W26" i="27"/>
  <c r="V26" i="27"/>
  <c r="U26" i="27"/>
  <c r="T26" i="27"/>
  <c r="S26" i="27"/>
  <c r="R26" i="27"/>
  <c r="P26" i="27"/>
  <c r="J26" i="27"/>
  <c r="I26" i="27"/>
  <c r="AR25" i="27"/>
  <c r="AP25" i="27"/>
  <c r="AM25" i="27"/>
  <c r="AA25" i="27" s="1"/>
  <c r="AE25" i="27"/>
  <c r="AC25" i="27"/>
  <c r="AD25" i="27" s="1"/>
  <c r="AB25" i="27"/>
  <c r="X25" i="27"/>
  <c r="W25" i="27"/>
  <c r="V25" i="27"/>
  <c r="U25" i="27"/>
  <c r="T25" i="27"/>
  <c r="S25" i="27"/>
  <c r="R25" i="27"/>
  <c r="P25" i="27"/>
  <c r="J25" i="27"/>
  <c r="I25" i="27"/>
  <c r="AR24" i="27"/>
  <c r="AM24" i="27"/>
  <c r="AN24" i="27" s="1"/>
  <c r="AE24" i="27"/>
  <c r="AC24" i="27"/>
  <c r="AD24" i="27" s="1"/>
  <c r="AB24" i="27"/>
  <c r="X24" i="27"/>
  <c r="W24" i="27"/>
  <c r="V24" i="27"/>
  <c r="U24" i="27"/>
  <c r="T24" i="27"/>
  <c r="S24" i="27"/>
  <c r="R24" i="27"/>
  <c r="P24" i="27"/>
  <c r="J24" i="27"/>
  <c r="I24" i="27"/>
  <c r="AR23" i="27"/>
  <c r="AM23" i="27"/>
  <c r="AA23" i="27" s="1"/>
  <c r="AE23" i="27"/>
  <c r="AC23" i="27"/>
  <c r="AD23" i="27" s="1"/>
  <c r="AB23" i="27"/>
  <c r="X23" i="27"/>
  <c r="W23" i="27"/>
  <c r="V23" i="27"/>
  <c r="U23" i="27"/>
  <c r="T23" i="27"/>
  <c r="S23" i="27"/>
  <c r="R23" i="27"/>
  <c r="P23" i="27"/>
  <c r="J23" i="27"/>
  <c r="I23" i="27"/>
  <c r="AR22" i="27"/>
  <c r="AM22" i="27"/>
  <c r="AN22" i="27" s="1"/>
  <c r="AE22" i="27"/>
  <c r="AC22" i="27"/>
  <c r="AD22" i="27" s="1"/>
  <c r="AB22" i="27"/>
  <c r="X22" i="27"/>
  <c r="W22" i="27"/>
  <c r="V22" i="27"/>
  <c r="U22" i="27"/>
  <c r="T22" i="27"/>
  <c r="S22" i="27"/>
  <c r="R22" i="27"/>
  <c r="P22" i="27"/>
  <c r="J22" i="27"/>
  <c r="I22" i="27"/>
  <c r="AR21" i="27"/>
  <c r="AM21" i="27"/>
  <c r="Q21" i="27" s="1"/>
  <c r="AE21" i="27"/>
  <c r="AC21" i="27"/>
  <c r="AD21" i="27" s="1"/>
  <c r="AB21" i="27"/>
  <c r="X21" i="27"/>
  <c r="W21" i="27"/>
  <c r="V21" i="27"/>
  <c r="U21" i="27"/>
  <c r="T21" i="27"/>
  <c r="S21" i="27"/>
  <c r="R21" i="27"/>
  <c r="P21" i="27"/>
  <c r="J21" i="27"/>
  <c r="I21" i="27"/>
  <c r="Z19" i="27"/>
  <c r="H19" i="27"/>
  <c r="G19" i="27"/>
  <c r="B19" i="27"/>
  <c r="AR18" i="27"/>
  <c r="AP18" i="27"/>
  <c r="AM18" i="27"/>
  <c r="N18" i="27" s="1"/>
  <c r="AE18" i="27"/>
  <c r="AC18" i="27"/>
  <c r="AD18" i="27" s="1"/>
  <c r="AB18" i="27"/>
  <c r="X18" i="27"/>
  <c r="W18" i="27"/>
  <c r="V18" i="27"/>
  <c r="U18" i="27"/>
  <c r="T18" i="27"/>
  <c r="S18" i="27"/>
  <c r="R18" i="27"/>
  <c r="P18" i="27"/>
  <c r="J18" i="27"/>
  <c r="I18" i="27"/>
  <c r="AR17" i="27"/>
  <c r="AP17" i="27"/>
  <c r="AM17" i="27"/>
  <c r="Q17" i="27" s="1"/>
  <c r="AE17" i="27"/>
  <c r="AC17" i="27"/>
  <c r="AD17" i="27" s="1"/>
  <c r="AB17" i="27"/>
  <c r="X17" i="27"/>
  <c r="W17" i="27"/>
  <c r="V17" i="27"/>
  <c r="U17" i="27"/>
  <c r="T17" i="27"/>
  <c r="S17" i="27"/>
  <c r="R17" i="27"/>
  <c r="P17" i="27"/>
  <c r="J17" i="27"/>
  <c r="I17" i="27"/>
  <c r="AR16" i="27"/>
  <c r="AP16" i="27"/>
  <c r="AM16" i="27"/>
  <c r="O16" i="27" s="1"/>
  <c r="AE16" i="27"/>
  <c r="AC16" i="27"/>
  <c r="AD16" i="27" s="1"/>
  <c r="AB16" i="27"/>
  <c r="X16" i="27"/>
  <c r="W16" i="27"/>
  <c r="V16" i="27"/>
  <c r="U16" i="27"/>
  <c r="T16" i="27"/>
  <c r="S16" i="27"/>
  <c r="R16" i="27"/>
  <c r="P16" i="27"/>
  <c r="J16" i="27"/>
  <c r="I16" i="27"/>
  <c r="AR15" i="27"/>
  <c r="AP15" i="27"/>
  <c r="AM15" i="27"/>
  <c r="AN15" i="27" s="1"/>
  <c r="AE15" i="27"/>
  <c r="AC15" i="27"/>
  <c r="AD15" i="27" s="1"/>
  <c r="AB15" i="27"/>
  <c r="X15" i="27"/>
  <c r="W15" i="27"/>
  <c r="V15" i="27"/>
  <c r="U15" i="27"/>
  <c r="T15" i="27"/>
  <c r="S15" i="27"/>
  <c r="R15" i="27"/>
  <c r="P15" i="27"/>
  <c r="J15" i="27"/>
  <c r="I15" i="27"/>
  <c r="AR14" i="27"/>
  <c r="AP14" i="27"/>
  <c r="AM14" i="27"/>
  <c r="O14" i="27" s="1"/>
  <c r="AE14" i="27"/>
  <c r="AC14" i="27"/>
  <c r="AD14" i="27" s="1"/>
  <c r="AB14" i="27"/>
  <c r="X14" i="27"/>
  <c r="W14" i="27"/>
  <c r="V14" i="27"/>
  <c r="U14" i="27"/>
  <c r="T14" i="27"/>
  <c r="S14" i="27"/>
  <c r="R14" i="27"/>
  <c r="P14" i="27"/>
  <c r="J14" i="27"/>
  <c r="I14" i="27"/>
  <c r="AR13" i="27"/>
  <c r="AM13" i="27"/>
  <c r="AP13" i="27" s="1"/>
  <c r="AE13" i="27"/>
  <c r="AC13" i="27"/>
  <c r="AD13" i="27" s="1"/>
  <c r="AB13" i="27"/>
  <c r="X13" i="27"/>
  <c r="W13" i="27"/>
  <c r="V13" i="27"/>
  <c r="U13" i="27"/>
  <c r="T13" i="27"/>
  <c r="S13" i="27"/>
  <c r="R13" i="27"/>
  <c r="P13" i="27"/>
  <c r="J13" i="27"/>
  <c r="I13" i="27"/>
  <c r="AR12" i="27"/>
  <c r="AM12" i="27"/>
  <c r="N12" i="27" s="1"/>
  <c r="AE12" i="27"/>
  <c r="AC12" i="27"/>
  <c r="AD12" i="27" s="1"/>
  <c r="AB12" i="27"/>
  <c r="X12" i="27"/>
  <c r="W12" i="27"/>
  <c r="V12" i="27"/>
  <c r="U12" i="27"/>
  <c r="T12" i="27"/>
  <c r="S12" i="27"/>
  <c r="R12" i="27"/>
  <c r="P12" i="27"/>
  <c r="J12" i="27"/>
  <c r="I12" i="27"/>
  <c r="AR11" i="27"/>
  <c r="AM11" i="27"/>
  <c r="Q11" i="27" s="1"/>
  <c r="AE11" i="27"/>
  <c r="AC11" i="27"/>
  <c r="AD11" i="27" s="1"/>
  <c r="AB11" i="27"/>
  <c r="X11" i="27"/>
  <c r="W11" i="27"/>
  <c r="V11" i="27"/>
  <c r="U11" i="27"/>
  <c r="T11" i="27"/>
  <c r="S11" i="27"/>
  <c r="R11" i="27"/>
  <c r="P11" i="27"/>
  <c r="J11" i="27"/>
  <c r="I11" i="27"/>
  <c r="AR10" i="27"/>
  <c r="AM10" i="27"/>
  <c r="O10" i="27" s="1"/>
  <c r="AE10" i="27"/>
  <c r="AC10" i="27"/>
  <c r="AB10" i="27"/>
  <c r="X10" i="27"/>
  <c r="W10" i="27"/>
  <c r="V10" i="27"/>
  <c r="U10" i="27"/>
  <c r="T10" i="27"/>
  <c r="S10" i="27"/>
  <c r="R10" i="27"/>
  <c r="P10" i="27"/>
  <c r="J10" i="27"/>
  <c r="I10" i="27"/>
  <c r="K21" i="26"/>
  <c r="F27" i="26"/>
  <c r="F26" i="26"/>
  <c r="F25" i="26"/>
  <c r="F22" i="26"/>
  <c r="F23" i="26"/>
  <c r="F24" i="26"/>
  <c r="F21" i="26"/>
  <c r="E27" i="26"/>
  <c r="E26" i="26"/>
  <c r="E25" i="26"/>
  <c r="E22" i="26"/>
  <c r="E23" i="26"/>
  <c r="E24" i="26"/>
  <c r="E21" i="26"/>
  <c r="D27" i="26"/>
  <c r="D26" i="26"/>
  <c r="D25" i="26"/>
  <c r="D22" i="26"/>
  <c r="D23" i="26"/>
  <c r="D24" i="26"/>
  <c r="D21" i="26"/>
  <c r="M53" i="26"/>
  <c r="M52" i="26"/>
  <c r="M51" i="26"/>
  <c r="M50" i="26"/>
  <c r="M49" i="26"/>
  <c r="M48" i="26"/>
  <c r="M47" i="26"/>
  <c r="M46" i="26"/>
  <c r="M45" i="26"/>
  <c r="M44" i="26"/>
  <c r="K53" i="26"/>
  <c r="K52" i="26"/>
  <c r="K51" i="26"/>
  <c r="K50" i="26"/>
  <c r="K49" i="26"/>
  <c r="K48" i="26"/>
  <c r="K47" i="26"/>
  <c r="K46" i="26"/>
  <c r="K45" i="26"/>
  <c r="K44" i="26"/>
  <c r="F46" i="26"/>
  <c r="F45" i="26"/>
  <c r="F44" i="26"/>
  <c r="E53" i="26"/>
  <c r="E52" i="26"/>
  <c r="E51" i="26"/>
  <c r="E50" i="26"/>
  <c r="E49" i="26"/>
  <c r="E48" i="26"/>
  <c r="E47" i="26"/>
  <c r="E46" i="26"/>
  <c r="E45" i="26"/>
  <c r="E44" i="26"/>
  <c r="D53" i="26"/>
  <c r="D52" i="26"/>
  <c r="D51" i="26"/>
  <c r="D50" i="26"/>
  <c r="D49" i="26"/>
  <c r="D48" i="26"/>
  <c r="D47" i="26"/>
  <c r="D46" i="26"/>
  <c r="D45" i="26"/>
  <c r="D44" i="26"/>
  <c r="AQ75" i="26"/>
  <c r="AM75" i="26" s="1"/>
  <c r="AQ74" i="26"/>
  <c r="AR74" i="26" s="1"/>
  <c r="O74" i="26"/>
  <c r="K74" i="26"/>
  <c r="D74" i="26"/>
  <c r="AQ73" i="26"/>
  <c r="AR73" i="26" s="1"/>
  <c r="AQ71" i="26"/>
  <c r="AM71" i="26" s="1"/>
  <c r="AA71" i="26"/>
  <c r="Y71" i="26"/>
  <c r="T71" i="26"/>
  <c r="O71" i="26"/>
  <c r="K71" i="26"/>
  <c r="G71" i="26"/>
  <c r="Z70" i="26"/>
  <c r="I70" i="26"/>
  <c r="B70" i="26"/>
  <c r="AR69" i="26"/>
  <c r="AM69" i="26"/>
  <c r="O69" i="26" s="1"/>
  <c r="AE69" i="26"/>
  <c r="AC69" i="26"/>
  <c r="AD69" i="26" s="1"/>
  <c r="AB69" i="26"/>
  <c r="AA69" i="26"/>
  <c r="Y69" i="26"/>
  <c r="X69" i="26"/>
  <c r="W69" i="26"/>
  <c r="V69" i="26"/>
  <c r="U69" i="26"/>
  <c r="T69" i="26"/>
  <c r="S69" i="26"/>
  <c r="R69" i="26"/>
  <c r="J69" i="26"/>
  <c r="H69" i="26"/>
  <c r="G69" i="26"/>
  <c r="F69" i="26"/>
  <c r="AR68" i="26"/>
  <c r="AM68" i="26"/>
  <c r="AO68" i="26" s="1"/>
  <c r="K68" i="26" s="1"/>
  <c r="AE68" i="26"/>
  <c r="AC68" i="26"/>
  <c r="AD68" i="26" s="1"/>
  <c r="AB68" i="26"/>
  <c r="AA68" i="26"/>
  <c r="Y68" i="26"/>
  <c r="X68" i="26"/>
  <c r="W68" i="26"/>
  <c r="V68" i="26"/>
  <c r="U68" i="26"/>
  <c r="T68" i="26"/>
  <c r="S68" i="26"/>
  <c r="R68" i="26"/>
  <c r="J68" i="26"/>
  <c r="H68" i="26"/>
  <c r="G68" i="26"/>
  <c r="F68" i="26"/>
  <c r="AR67" i="26"/>
  <c r="AM67" i="26"/>
  <c r="Q67" i="26" s="1"/>
  <c r="AE67" i="26"/>
  <c r="AC67" i="26"/>
  <c r="AD67" i="26" s="1"/>
  <c r="AB67" i="26"/>
  <c r="AA67" i="26"/>
  <c r="Y67" i="26"/>
  <c r="X67" i="26"/>
  <c r="W67" i="26"/>
  <c r="V67" i="26"/>
  <c r="U67" i="26"/>
  <c r="T67" i="26"/>
  <c r="S67" i="26"/>
  <c r="R67" i="26"/>
  <c r="J67" i="26"/>
  <c r="H67" i="26"/>
  <c r="G67" i="26"/>
  <c r="F67" i="26"/>
  <c r="AR66" i="26"/>
  <c r="AM66" i="26"/>
  <c r="O66" i="26" s="1"/>
  <c r="AE66" i="26"/>
  <c r="AC66" i="26"/>
  <c r="AD66" i="26" s="1"/>
  <c r="AB66" i="26"/>
  <c r="AA66" i="26"/>
  <c r="Y66" i="26"/>
  <c r="X66" i="26"/>
  <c r="W66" i="26"/>
  <c r="V66" i="26"/>
  <c r="U66" i="26"/>
  <c r="T66" i="26"/>
  <c r="S66" i="26"/>
  <c r="R66" i="26"/>
  <c r="J66" i="26"/>
  <c r="H66" i="26"/>
  <c r="G66" i="26"/>
  <c r="F66" i="26"/>
  <c r="AR65" i="26"/>
  <c r="AM65" i="26"/>
  <c r="AO65" i="26" s="1"/>
  <c r="K65" i="26" s="1"/>
  <c r="AE65" i="26"/>
  <c r="AC65" i="26"/>
  <c r="AB65" i="26"/>
  <c r="AA65" i="26"/>
  <c r="Y65" i="26"/>
  <c r="X65" i="26"/>
  <c r="W65" i="26"/>
  <c r="V65" i="26"/>
  <c r="U65" i="26"/>
  <c r="T65" i="26"/>
  <c r="S65" i="26"/>
  <c r="R65" i="26"/>
  <c r="J65" i="26"/>
  <c r="H65" i="26"/>
  <c r="G65" i="26"/>
  <c r="F65" i="26"/>
  <c r="AR53" i="26"/>
  <c r="AP53" i="26"/>
  <c r="AM53" i="26"/>
  <c r="N53" i="26" s="1"/>
  <c r="AE53" i="26"/>
  <c r="AC53" i="26"/>
  <c r="AD53" i="26" s="1"/>
  <c r="AB53" i="26"/>
  <c r="X53" i="26"/>
  <c r="W53" i="26"/>
  <c r="V53" i="26"/>
  <c r="U53" i="26"/>
  <c r="T53" i="26"/>
  <c r="S53" i="26"/>
  <c r="R53" i="26"/>
  <c r="P53" i="26"/>
  <c r="J53" i="26"/>
  <c r="I53" i="26"/>
  <c r="AR52" i="26"/>
  <c r="AP52" i="26"/>
  <c r="AM52" i="26"/>
  <c r="O52" i="26" s="1"/>
  <c r="AE52" i="26"/>
  <c r="AC52" i="26"/>
  <c r="AD52" i="26" s="1"/>
  <c r="AB52" i="26"/>
  <c r="X52" i="26"/>
  <c r="W52" i="26"/>
  <c r="V52" i="26"/>
  <c r="U52" i="26"/>
  <c r="T52" i="26"/>
  <c r="S52" i="26"/>
  <c r="R52" i="26"/>
  <c r="P52" i="26"/>
  <c r="J52" i="26"/>
  <c r="I52" i="26"/>
  <c r="AR51" i="26"/>
  <c r="AP51" i="26"/>
  <c r="AM51" i="26"/>
  <c r="N51" i="26" s="1"/>
  <c r="AE51" i="26"/>
  <c r="AC51" i="26"/>
  <c r="AD51" i="26" s="1"/>
  <c r="AB51" i="26"/>
  <c r="X51" i="26"/>
  <c r="W51" i="26"/>
  <c r="V51" i="26"/>
  <c r="U51" i="26"/>
  <c r="T51" i="26"/>
  <c r="S51" i="26"/>
  <c r="R51" i="26"/>
  <c r="P51" i="26"/>
  <c r="J51" i="26"/>
  <c r="I51" i="26"/>
  <c r="AR50" i="26"/>
  <c r="AP50" i="26"/>
  <c r="AM50" i="26"/>
  <c r="F50" i="26" s="1"/>
  <c r="AE50" i="26"/>
  <c r="AC50" i="26"/>
  <c r="AD50" i="26" s="1"/>
  <c r="AB50" i="26"/>
  <c r="X50" i="26"/>
  <c r="W50" i="26"/>
  <c r="V50" i="26"/>
  <c r="U50" i="26"/>
  <c r="T50" i="26"/>
  <c r="S50" i="26"/>
  <c r="R50" i="26"/>
  <c r="P50" i="26"/>
  <c r="J50" i="26"/>
  <c r="I50" i="26"/>
  <c r="AR49" i="26"/>
  <c r="AP49" i="26"/>
  <c r="AM49" i="26"/>
  <c r="AA49" i="26" s="1"/>
  <c r="AE49" i="26"/>
  <c r="AC49" i="26"/>
  <c r="AD49" i="26" s="1"/>
  <c r="AB49" i="26"/>
  <c r="Y49" i="26"/>
  <c r="X49" i="26"/>
  <c r="W49" i="26"/>
  <c r="V49" i="26"/>
  <c r="U49" i="26"/>
  <c r="T49" i="26"/>
  <c r="S49" i="26"/>
  <c r="R49" i="26"/>
  <c r="P49" i="26"/>
  <c r="J49" i="26"/>
  <c r="I49" i="26"/>
  <c r="AR48" i="26"/>
  <c r="AM48" i="26"/>
  <c r="F48" i="26" s="1"/>
  <c r="AE48" i="26"/>
  <c r="AC48" i="26"/>
  <c r="AD48" i="26" s="1"/>
  <c r="AB48" i="26"/>
  <c r="Y48" i="26"/>
  <c r="X48" i="26"/>
  <c r="W48" i="26"/>
  <c r="V48" i="26"/>
  <c r="U48" i="26"/>
  <c r="T48" i="26"/>
  <c r="S48" i="26"/>
  <c r="R48" i="26"/>
  <c r="P48" i="26"/>
  <c r="J48" i="26"/>
  <c r="I48" i="26"/>
  <c r="AR47" i="26"/>
  <c r="AM47" i="26"/>
  <c r="AP47" i="26" s="1"/>
  <c r="AE47" i="26"/>
  <c r="AC47" i="26"/>
  <c r="AD47" i="26" s="1"/>
  <c r="AB47" i="26"/>
  <c r="Y47" i="26"/>
  <c r="X47" i="26"/>
  <c r="W47" i="26"/>
  <c r="V47" i="26"/>
  <c r="U47" i="26"/>
  <c r="T47" i="26"/>
  <c r="S47" i="26"/>
  <c r="R47" i="26"/>
  <c r="P47" i="26"/>
  <c r="J47" i="26"/>
  <c r="I47" i="26"/>
  <c r="AR46" i="26"/>
  <c r="AM46" i="26"/>
  <c r="AP46" i="26" s="1"/>
  <c r="AE46" i="26"/>
  <c r="AC46" i="26"/>
  <c r="AD46" i="26" s="1"/>
  <c r="AB46" i="26"/>
  <c r="Y46" i="26"/>
  <c r="X46" i="26"/>
  <c r="W46" i="26"/>
  <c r="V46" i="26"/>
  <c r="U46" i="26"/>
  <c r="T46" i="26"/>
  <c r="S46" i="26"/>
  <c r="R46" i="26"/>
  <c r="P46" i="26"/>
  <c r="J46" i="26"/>
  <c r="I46" i="26"/>
  <c r="AR45" i="26"/>
  <c r="AM45" i="26"/>
  <c r="N45" i="26" s="1"/>
  <c r="AE45" i="26"/>
  <c r="AC45" i="26"/>
  <c r="AD45" i="26" s="1"/>
  <c r="AB45" i="26"/>
  <c r="AA45" i="26"/>
  <c r="X45" i="26"/>
  <c r="W45" i="26"/>
  <c r="V45" i="26"/>
  <c r="U45" i="26"/>
  <c r="T45" i="26"/>
  <c r="S45" i="26"/>
  <c r="R45" i="26"/>
  <c r="P45" i="26"/>
  <c r="J45" i="26"/>
  <c r="I45" i="26"/>
  <c r="AR44" i="26"/>
  <c r="AM44" i="26"/>
  <c r="Y44" i="26" s="1"/>
  <c r="AE44" i="26"/>
  <c r="AC44" i="26"/>
  <c r="AB44" i="26"/>
  <c r="AA44" i="26"/>
  <c r="X44" i="26"/>
  <c r="W44" i="26"/>
  <c r="V44" i="26"/>
  <c r="U44" i="26"/>
  <c r="T44" i="26"/>
  <c r="S44" i="26"/>
  <c r="R44" i="26"/>
  <c r="P44" i="26"/>
  <c r="J44" i="26"/>
  <c r="I44" i="26"/>
  <c r="Z40" i="26"/>
  <c r="H40" i="26"/>
  <c r="G40" i="26"/>
  <c r="B40" i="26"/>
  <c r="AR39" i="26"/>
  <c r="AP39" i="26"/>
  <c r="AM39" i="26"/>
  <c r="O39" i="26" s="1"/>
  <c r="AE39" i="26"/>
  <c r="AC39" i="26"/>
  <c r="AD39" i="26" s="1"/>
  <c r="AB39" i="26"/>
  <c r="X39" i="26"/>
  <c r="W39" i="26"/>
  <c r="V39" i="26"/>
  <c r="U39" i="26"/>
  <c r="T39" i="26"/>
  <c r="S39" i="26"/>
  <c r="R39" i="26"/>
  <c r="P39" i="26"/>
  <c r="M39" i="26"/>
  <c r="K39" i="26"/>
  <c r="J39" i="26"/>
  <c r="I39" i="26"/>
  <c r="F39" i="26"/>
  <c r="E39" i="26"/>
  <c r="D39" i="26"/>
  <c r="AR38" i="26"/>
  <c r="AP38" i="26"/>
  <c r="AM38" i="26"/>
  <c r="O38" i="26" s="1"/>
  <c r="AE38" i="26"/>
  <c r="AC38" i="26"/>
  <c r="AD38" i="26" s="1"/>
  <c r="AB38" i="26"/>
  <c r="X38" i="26"/>
  <c r="W38" i="26"/>
  <c r="V38" i="26"/>
  <c r="U38" i="26"/>
  <c r="T38" i="26"/>
  <c r="S38" i="26"/>
  <c r="R38" i="26"/>
  <c r="P38" i="26"/>
  <c r="M38" i="26"/>
  <c r="K38" i="26"/>
  <c r="J38" i="26"/>
  <c r="I38" i="26"/>
  <c r="F38" i="26"/>
  <c r="E38" i="26"/>
  <c r="D38" i="26"/>
  <c r="AR37" i="26"/>
  <c r="AP37" i="26"/>
  <c r="AM37" i="26"/>
  <c r="O37" i="26" s="1"/>
  <c r="AE37" i="26"/>
  <c r="AC37" i="26"/>
  <c r="AD37" i="26" s="1"/>
  <c r="AB37" i="26"/>
  <c r="X37" i="26"/>
  <c r="W37" i="26"/>
  <c r="V37" i="26"/>
  <c r="U37" i="26"/>
  <c r="T37" i="26"/>
  <c r="S37" i="26"/>
  <c r="R37" i="26"/>
  <c r="P37" i="26"/>
  <c r="M37" i="26"/>
  <c r="K37" i="26"/>
  <c r="J37" i="26"/>
  <c r="I37" i="26"/>
  <c r="F37" i="26"/>
  <c r="E37" i="26"/>
  <c r="D37" i="26"/>
  <c r="AT36" i="26"/>
  <c r="AR36" i="26"/>
  <c r="AP36" i="26"/>
  <c r="AM36" i="26"/>
  <c r="Q36" i="26" s="1"/>
  <c r="AE36" i="26"/>
  <c r="AC36" i="26"/>
  <c r="AD36" i="26" s="1"/>
  <c r="AB36" i="26"/>
  <c r="X36" i="26"/>
  <c r="W36" i="26"/>
  <c r="V36" i="26"/>
  <c r="U36" i="26"/>
  <c r="T36" i="26"/>
  <c r="S36" i="26"/>
  <c r="R36" i="26"/>
  <c r="P36" i="26"/>
  <c r="M36" i="26"/>
  <c r="K36" i="26"/>
  <c r="J36" i="26"/>
  <c r="I36" i="26"/>
  <c r="F36" i="26"/>
  <c r="E36" i="26"/>
  <c r="D36" i="26"/>
  <c r="AR35" i="26"/>
  <c r="AP35" i="26"/>
  <c r="AM35" i="26"/>
  <c r="Q35" i="26" s="1"/>
  <c r="AE35" i="26"/>
  <c r="AC35" i="26"/>
  <c r="AD35" i="26" s="1"/>
  <c r="AB35" i="26"/>
  <c r="Y35" i="26"/>
  <c r="X35" i="26"/>
  <c r="W35" i="26"/>
  <c r="V35" i="26"/>
  <c r="U35" i="26"/>
  <c r="T35" i="26"/>
  <c r="S35" i="26"/>
  <c r="R35" i="26"/>
  <c r="P35" i="26"/>
  <c r="M35" i="26"/>
  <c r="K35" i="26"/>
  <c r="J35" i="26"/>
  <c r="I35" i="26"/>
  <c r="F35" i="26"/>
  <c r="E35" i="26"/>
  <c r="D35" i="26"/>
  <c r="AR34" i="26"/>
  <c r="AM34" i="26"/>
  <c r="Q34" i="26" s="1"/>
  <c r="AE34" i="26"/>
  <c r="AC34" i="26"/>
  <c r="AD34" i="26" s="1"/>
  <c r="AB34" i="26"/>
  <c r="Y34" i="26"/>
  <c r="X34" i="26"/>
  <c r="W34" i="26"/>
  <c r="V34" i="26"/>
  <c r="U34" i="26"/>
  <c r="T34" i="26"/>
  <c r="S34" i="26"/>
  <c r="R34" i="26"/>
  <c r="P34" i="26"/>
  <c r="M34" i="26"/>
  <c r="K34" i="26"/>
  <c r="J34" i="26"/>
  <c r="I34" i="26"/>
  <c r="F34" i="26"/>
  <c r="E34" i="26"/>
  <c r="D34" i="26"/>
  <c r="AR33" i="26"/>
  <c r="AM33" i="26"/>
  <c r="Q33" i="26" s="1"/>
  <c r="AE33" i="26"/>
  <c r="AC33" i="26"/>
  <c r="AD33" i="26" s="1"/>
  <c r="AB33" i="26"/>
  <c r="Y33" i="26"/>
  <c r="X33" i="26"/>
  <c r="W33" i="26"/>
  <c r="V33" i="26"/>
  <c r="U33" i="26"/>
  <c r="T33" i="26"/>
  <c r="S33" i="26"/>
  <c r="R33" i="26"/>
  <c r="P33" i="26"/>
  <c r="M33" i="26"/>
  <c r="K33" i="26"/>
  <c r="J33" i="26"/>
  <c r="I33" i="26"/>
  <c r="F33" i="26"/>
  <c r="E33" i="26"/>
  <c r="D33" i="26"/>
  <c r="AR32" i="26"/>
  <c r="AM32" i="26"/>
  <c r="Q32" i="26" s="1"/>
  <c r="AE32" i="26"/>
  <c r="AC32" i="26"/>
  <c r="AD32" i="26" s="1"/>
  <c r="AB32" i="26"/>
  <c r="Y32" i="26"/>
  <c r="X32" i="26"/>
  <c r="W32" i="26"/>
  <c r="V32" i="26"/>
  <c r="U32" i="26"/>
  <c r="T32" i="26"/>
  <c r="S32" i="26"/>
  <c r="R32" i="26"/>
  <c r="P32" i="26"/>
  <c r="M32" i="26"/>
  <c r="K32" i="26"/>
  <c r="J32" i="26"/>
  <c r="I32" i="26"/>
  <c r="F32" i="26"/>
  <c r="E32" i="26"/>
  <c r="D32" i="26"/>
  <c r="AR31" i="26"/>
  <c r="AM31" i="26"/>
  <c r="AN31" i="26" s="1"/>
  <c r="AE31" i="26"/>
  <c r="AC31" i="26"/>
  <c r="AD31" i="26" s="1"/>
  <c r="AB31" i="26"/>
  <c r="AA31" i="26"/>
  <c r="X31" i="26"/>
  <c r="W31" i="26"/>
  <c r="V31" i="26"/>
  <c r="U31" i="26"/>
  <c r="T31" i="26"/>
  <c r="S31" i="26"/>
  <c r="R31" i="26"/>
  <c r="P31" i="26"/>
  <c r="M31" i="26"/>
  <c r="K31" i="26"/>
  <c r="J31" i="26"/>
  <c r="I31" i="26"/>
  <c r="F31" i="26"/>
  <c r="E31" i="26"/>
  <c r="D31" i="26"/>
  <c r="AR30" i="26"/>
  <c r="AM30" i="26"/>
  <c r="O30" i="26" s="1"/>
  <c r="AE30" i="26"/>
  <c r="AC30" i="26"/>
  <c r="AD30" i="26" s="1"/>
  <c r="AB30" i="26"/>
  <c r="AA30" i="26"/>
  <c r="X30" i="26"/>
  <c r="W30" i="26"/>
  <c r="V30" i="26"/>
  <c r="U30" i="26"/>
  <c r="T30" i="26"/>
  <c r="S30" i="26"/>
  <c r="R30" i="26"/>
  <c r="P30" i="26"/>
  <c r="M30" i="26"/>
  <c r="K30" i="26"/>
  <c r="J30" i="26"/>
  <c r="I30" i="26"/>
  <c r="F30" i="26"/>
  <c r="E30" i="26"/>
  <c r="D30" i="26"/>
  <c r="Z28" i="26"/>
  <c r="H28" i="26"/>
  <c r="G28" i="26"/>
  <c r="B28" i="26"/>
  <c r="AR27" i="26"/>
  <c r="AM27" i="26"/>
  <c r="Q27" i="26" s="1"/>
  <c r="AE27" i="26"/>
  <c r="AC27" i="26"/>
  <c r="AD27" i="26" s="1"/>
  <c r="AB27" i="26"/>
  <c r="X27" i="26"/>
  <c r="W27" i="26"/>
  <c r="V27" i="26"/>
  <c r="U27" i="26"/>
  <c r="T27" i="26"/>
  <c r="S27" i="26"/>
  <c r="R27" i="26"/>
  <c r="P27" i="26"/>
  <c r="J27" i="26"/>
  <c r="I27" i="26"/>
  <c r="AR26" i="26"/>
  <c r="AM26" i="26"/>
  <c r="AN26" i="26" s="1"/>
  <c r="AE26" i="26"/>
  <c r="AC26" i="26"/>
  <c r="AD26" i="26" s="1"/>
  <c r="AB26" i="26"/>
  <c r="X26" i="26"/>
  <c r="W26" i="26"/>
  <c r="V26" i="26"/>
  <c r="U26" i="26"/>
  <c r="T26" i="26"/>
  <c r="S26" i="26"/>
  <c r="R26" i="26"/>
  <c r="P26" i="26"/>
  <c r="J26" i="26"/>
  <c r="I26" i="26"/>
  <c r="AR25" i="26"/>
  <c r="AM25" i="26"/>
  <c r="O25" i="26" s="1"/>
  <c r="AE25" i="26"/>
  <c r="AC25" i="26"/>
  <c r="AD25" i="26" s="1"/>
  <c r="AB25" i="26"/>
  <c r="AA25" i="26"/>
  <c r="X25" i="26"/>
  <c r="W25" i="26"/>
  <c r="V25" i="26"/>
  <c r="U25" i="26"/>
  <c r="T25" i="26"/>
  <c r="S25" i="26"/>
  <c r="R25" i="26"/>
  <c r="P25" i="26"/>
  <c r="J25" i="26"/>
  <c r="I25" i="26"/>
  <c r="AR24" i="26"/>
  <c r="AM24" i="26"/>
  <c r="Q24" i="26" s="1"/>
  <c r="AE24" i="26"/>
  <c r="AC24" i="26"/>
  <c r="AD24" i="26" s="1"/>
  <c r="AB24" i="26"/>
  <c r="AA24" i="26"/>
  <c r="X24" i="26"/>
  <c r="W24" i="26"/>
  <c r="V24" i="26"/>
  <c r="U24" i="26"/>
  <c r="T24" i="26"/>
  <c r="S24" i="26"/>
  <c r="R24" i="26"/>
  <c r="P24" i="26"/>
  <c r="J24" i="26"/>
  <c r="I24" i="26"/>
  <c r="AR23" i="26"/>
  <c r="AM23" i="26"/>
  <c r="AN23" i="26" s="1"/>
  <c r="Y23" i="26" s="1"/>
  <c r="AE23" i="26"/>
  <c r="AC23" i="26"/>
  <c r="AD23" i="26" s="1"/>
  <c r="AB23" i="26"/>
  <c r="AA23" i="26"/>
  <c r="X23" i="26"/>
  <c r="W23" i="26"/>
  <c r="V23" i="26"/>
  <c r="U23" i="26"/>
  <c r="T23" i="26"/>
  <c r="S23" i="26"/>
  <c r="R23" i="26"/>
  <c r="P23" i="26"/>
  <c r="J23" i="26"/>
  <c r="I23" i="26"/>
  <c r="AR22" i="26"/>
  <c r="AM22" i="26"/>
  <c r="Q22" i="26" s="1"/>
  <c r="AE22" i="26"/>
  <c r="AC22" i="26"/>
  <c r="AD22" i="26" s="1"/>
  <c r="AB22" i="26"/>
  <c r="AA22" i="26"/>
  <c r="X22" i="26"/>
  <c r="W22" i="26"/>
  <c r="V22" i="26"/>
  <c r="U22" i="26"/>
  <c r="T22" i="26"/>
  <c r="S22" i="26"/>
  <c r="R22" i="26"/>
  <c r="P22" i="26"/>
  <c r="J22" i="26"/>
  <c r="I22" i="26"/>
  <c r="AR21" i="26"/>
  <c r="AM21" i="26"/>
  <c r="Q21" i="26" s="1"/>
  <c r="AE21" i="26"/>
  <c r="AC21" i="26"/>
  <c r="AD21" i="26" s="1"/>
  <c r="AB21" i="26"/>
  <c r="AA21" i="26"/>
  <c r="X21" i="26"/>
  <c r="W21" i="26"/>
  <c r="V21" i="26"/>
  <c r="U21" i="26"/>
  <c r="T21" i="26"/>
  <c r="S21" i="26"/>
  <c r="R21" i="26"/>
  <c r="P21" i="26"/>
  <c r="J21" i="26"/>
  <c r="I21" i="26"/>
  <c r="Z18" i="26"/>
  <c r="H18" i="26"/>
  <c r="G18" i="26"/>
  <c r="B18" i="26"/>
  <c r="AR17" i="26"/>
  <c r="AM17" i="26"/>
  <c r="Q17" i="26" s="1"/>
  <c r="AE17" i="26"/>
  <c r="AC17" i="26"/>
  <c r="AD17" i="26" s="1"/>
  <c r="AB17" i="26"/>
  <c r="X17" i="26"/>
  <c r="W17" i="26"/>
  <c r="V17" i="26"/>
  <c r="U17" i="26"/>
  <c r="T17" i="26"/>
  <c r="S17" i="26"/>
  <c r="R17" i="26"/>
  <c r="P17" i="26"/>
  <c r="M17" i="26"/>
  <c r="K17" i="26"/>
  <c r="J17" i="26"/>
  <c r="I17" i="26"/>
  <c r="F17" i="26"/>
  <c r="E17" i="26"/>
  <c r="D17" i="26"/>
  <c r="AR16" i="26"/>
  <c r="AM16" i="26"/>
  <c r="Q16" i="26" s="1"/>
  <c r="AE16" i="26"/>
  <c r="AC16" i="26"/>
  <c r="AD16" i="26" s="1"/>
  <c r="AB16" i="26"/>
  <c r="X16" i="26"/>
  <c r="W16" i="26"/>
  <c r="V16" i="26"/>
  <c r="U16" i="26"/>
  <c r="T16" i="26"/>
  <c r="S16" i="26"/>
  <c r="R16" i="26"/>
  <c r="P16" i="26"/>
  <c r="M16" i="26"/>
  <c r="K16" i="26"/>
  <c r="J16" i="26"/>
  <c r="I16" i="26"/>
  <c r="F16" i="26"/>
  <c r="E16" i="26"/>
  <c r="D16" i="26"/>
  <c r="AR15" i="26"/>
  <c r="AM15" i="26"/>
  <c r="AP15" i="26" s="1"/>
  <c r="AE15" i="26"/>
  <c r="AC15" i="26"/>
  <c r="AD15" i="26" s="1"/>
  <c r="AB15" i="26"/>
  <c r="AA15" i="26"/>
  <c r="X15" i="26"/>
  <c r="W15" i="26"/>
  <c r="V15" i="26"/>
  <c r="U15" i="26"/>
  <c r="T15" i="26"/>
  <c r="S15" i="26"/>
  <c r="R15" i="26"/>
  <c r="P15" i="26"/>
  <c r="M15" i="26"/>
  <c r="K15" i="26"/>
  <c r="J15" i="26"/>
  <c r="I15" i="26"/>
  <c r="F15" i="26"/>
  <c r="E15" i="26"/>
  <c r="D15" i="26"/>
  <c r="AR14" i="26"/>
  <c r="AM14" i="26"/>
  <c r="Q14" i="26" s="1"/>
  <c r="AE14" i="26"/>
  <c r="AC14" i="26"/>
  <c r="AD14" i="26" s="1"/>
  <c r="AB14" i="26"/>
  <c r="AA14" i="26"/>
  <c r="X14" i="26"/>
  <c r="W14" i="26"/>
  <c r="V14" i="26"/>
  <c r="U14" i="26"/>
  <c r="T14" i="26"/>
  <c r="S14" i="26"/>
  <c r="R14" i="26"/>
  <c r="P14" i="26"/>
  <c r="M14" i="26"/>
  <c r="K14" i="26"/>
  <c r="J14" i="26"/>
  <c r="I14" i="26"/>
  <c r="F14" i="26"/>
  <c r="E14" i="26"/>
  <c r="D14" i="26"/>
  <c r="AR13" i="26"/>
  <c r="AM13" i="26"/>
  <c r="AP13" i="26" s="1"/>
  <c r="AE13" i="26"/>
  <c r="AC13" i="26"/>
  <c r="AD13" i="26" s="1"/>
  <c r="AB13" i="26"/>
  <c r="AA13" i="26"/>
  <c r="X13" i="26"/>
  <c r="W13" i="26"/>
  <c r="V13" i="26"/>
  <c r="U13" i="26"/>
  <c r="T13" i="26"/>
  <c r="S13" i="26"/>
  <c r="R13" i="26"/>
  <c r="P13" i="26"/>
  <c r="M13" i="26"/>
  <c r="K13" i="26"/>
  <c r="J13" i="26"/>
  <c r="I13" i="26"/>
  <c r="F13" i="26"/>
  <c r="E13" i="26"/>
  <c r="D13" i="26"/>
  <c r="AR12" i="26"/>
  <c r="AM12" i="26"/>
  <c r="AP12" i="26" s="1"/>
  <c r="AE12" i="26"/>
  <c r="AC12" i="26"/>
  <c r="AD12" i="26" s="1"/>
  <c r="AB12" i="26"/>
  <c r="AA12" i="26"/>
  <c r="X12" i="26"/>
  <c r="W12" i="26"/>
  <c r="V12" i="26"/>
  <c r="U12" i="26"/>
  <c r="T12" i="26"/>
  <c r="S12" i="26"/>
  <c r="R12" i="26"/>
  <c r="P12" i="26"/>
  <c r="M12" i="26"/>
  <c r="K12" i="26"/>
  <c r="J12" i="26"/>
  <c r="I12" i="26"/>
  <c r="F12" i="26"/>
  <c r="E12" i="26"/>
  <c r="D12" i="26"/>
  <c r="AR11" i="26"/>
  <c r="AM11" i="26"/>
  <c r="AP11" i="26" s="1"/>
  <c r="AE11" i="26"/>
  <c r="AC11" i="26"/>
  <c r="AB11" i="26"/>
  <c r="AA11" i="26"/>
  <c r="X11" i="26"/>
  <c r="W11" i="26"/>
  <c r="V11" i="26"/>
  <c r="U11" i="26"/>
  <c r="T11" i="26"/>
  <c r="S11" i="26"/>
  <c r="R11" i="26"/>
  <c r="P11" i="26"/>
  <c r="M11" i="26"/>
  <c r="K11" i="26"/>
  <c r="J11" i="26"/>
  <c r="I11" i="26"/>
  <c r="F11" i="26"/>
  <c r="E11" i="26"/>
  <c r="D11" i="26"/>
  <c r="V24" i="23"/>
  <c r="U24" i="23"/>
  <c r="T24" i="23"/>
  <c r="S24" i="23"/>
  <c r="U42" i="22"/>
  <c r="U43" i="22"/>
  <c r="U44" i="22"/>
  <c r="U45" i="22"/>
  <c r="T42" i="22"/>
  <c r="T43" i="22"/>
  <c r="T44" i="22"/>
  <c r="T45" i="22"/>
  <c r="U41" i="22"/>
  <c r="T41" i="22"/>
  <c r="U23" i="22"/>
  <c r="T23" i="22"/>
  <c r="S23" i="22"/>
  <c r="AB55" i="26" l="1"/>
  <c r="T55" i="26"/>
  <c r="S55" i="26"/>
  <c r="U55" i="26"/>
  <c r="M55" i="26"/>
  <c r="J55" i="26"/>
  <c r="V55" i="26"/>
  <c r="AE55" i="26"/>
  <c r="E55" i="26"/>
  <c r="I55" i="26"/>
  <c r="AD44" i="26"/>
  <c r="AD55" i="26" s="1"/>
  <c r="AC55" i="26"/>
  <c r="P55" i="26"/>
  <c r="W55" i="26"/>
  <c r="K55" i="26"/>
  <c r="R55" i="26"/>
  <c r="X55" i="26"/>
  <c r="D55" i="26"/>
  <c r="O29" i="27"/>
  <c r="AN16" i="26"/>
  <c r="Y16" i="26" s="1"/>
  <c r="AF13" i="26"/>
  <c r="O53" i="26"/>
  <c r="N26" i="26"/>
  <c r="AN25" i="26"/>
  <c r="Y25" i="26" s="1"/>
  <c r="Y31" i="26"/>
  <c r="AP31" i="26"/>
  <c r="AF31" i="26" s="1"/>
  <c r="Y36" i="26"/>
  <c r="N25" i="26"/>
  <c r="AA36" i="26"/>
  <c r="L48" i="26"/>
  <c r="O47" i="26"/>
  <c r="N47" i="26"/>
  <c r="N44" i="26"/>
  <c r="O44" i="26"/>
  <c r="L52" i="26"/>
  <c r="N52" i="26"/>
  <c r="N49" i="26"/>
  <c r="N48" i="26"/>
  <c r="O48" i="26"/>
  <c r="L28" i="26"/>
  <c r="O11" i="27"/>
  <c r="O17" i="27"/>
  <c r="N24" i="27"/>
  <c r="I30" i="27"/>
  <c r="Q22" i="27"/>
  <c r="M19" i="27"/>
  <c r="O12" i="27"/>
  <c r="N22" i="27"/>
  <c r="N16" i="27"/>
  <c r="N21" i="27"/>
  <c r="O27" i="27"/>
  <c r="N15" i="27"/>
  <c r="N29" i="27"/>
  <c r="O24" i="27"/>
  <c r="O18" i="27"/>
  <c r="N27" i="27"/>
  <c r="O21" i="27"/>
  <c r="O23" i="27"/>
  <c r="N23" i="27"/>
  <c r="O22" i="27"/>
  <c r="S30" i="27"/>
  <c r="AB30" i="27"/>
  <c r="R30" i="27"/>
  <c r="X30" i="27"/>
  <c r="O25" i="27"/>
  <c r="M30" i="27"/>
  <c r="N28" i="27"/>
  <c r="J30" i="27"/>
  <c r="N26" i="27"/>
  <c r="O28" i="27"/>
  <c r="N25" i="27"/>
  <c r="O26" i="27"/>
  <c r="N10" i="27"/>
  <c r="N14" i="27"/>
  <c r="N13" i="27"/>
  <c r="O15" i="27"/>
  <c r="N17" i="27"/>
  <c r="N11" i="27"/>
  <c r="O13" i="27"/>
  <c r="K30" i="27"/>
  <c r="U30" i="27"/>
  <c r="AE30" i="27"/>
  <c r="T30" i="27"/>
  <c r="L30" i="27"/>
  <c r="V30" i="27"/>
  <c r="P30" i="27"/>
  <c r="W30" i="27"/>
  <c r="AD30" i="27"/>
  <c r="AC30" i="27"/>
  <c r="D30" i="27"/>
  <c r="AA13" i="27"/>
  <c r="E30" i="27"/>
  <c r="F30" i="27"/>
  <c r="Y29" i="27"/>
  <c r="AF29" i="27"/>
  <c r="AN29" i="27"/>
  <c r="AA29" i="27"/>
  <c r="AA22" i="27"/>
  <c r="AA17" i="27"/>
  <c r="Q13" i="27"/>
  <c r="AP22" i="27"/>
  <c r="AF22" i="27" s="1"/>
  <c r="Q28" i="27"/>
  <c r="Y13" i="27"/>
  <c r="AN13" i="27"/>
  <c r="Y11" i="27"/>
  <c r="AN11" i="27"/>
  <c r="AF14" i="27"/>
  <c r="Y15" i="27"/>
  <c r="AA11" i="27"/>
  <c r="AP11" i="27"/>
  <c r="AF11" i="27" s="1"/>
  <c r="AF16" i="27"/>
  <c r="Y17" i="27"/>
  <c r="AN17" i="27"/>
  <c r="Y25" i="27"/>
  <c r="Q24" i="27"/>
  <c r="AF17" i="27"/>
  <c r="Y21" i="27"/>
  <c r="Y27" i="27"/>
  <c r="AA28" i="27"/>
  <c r="AF18" i="27"/>
  <c r="AA21" i="27"/>
  <c r="AA24" i="27"/>
  <c r="Q26" i="27"/>
  <c r="AN27" i="26"/>
  <c r="AA27" i="26" s="1"/>
  <c r="O26" i="26"/>
  <c r="O27" i="26"/>
  <c r="N27" i="26"/>
  <c r="N24" i="26"/>
  <c r="N23" i="26"/>
  <c r="O24" i="26"/>
  <c r="N21" i="26"/>
  <c r="N22" i="26"/>
  <c r="O23" i="26"/>
  <c r="O22" i="26"/>
  <c r="K19" i="27"/>
  <c r="U19" i="27"/>
  <c r="AE19" i="27"/>
  <c r="E19" i="27"/>
  <c r="S19" i="27"/>
  <c r="D19" i="27"/>
  <c r="L19" i="27"/>
  <c r="V19" i="27"/>
  <c r="AF15" i="27"/>
  <c r="Y23" i="27"/>
  <c r="P19" i="27"/>
  <c r="AF13" i="27"/>
  <c r="Q15" i="27"/>
  <c r="AF27" i="27"/>
  <c r="R19" i="27"/>
  <c r="X19" i="27"/>
  <c r="AF25" i="27"/>
  <c r="I19" i="27"/>
  <c r="AB19" i="27"/>
  <c r="J19" i="27"/>
  <c r="T19" i="27"/>
  <c r="AC19" i="27"/>
  <c r="F19" i="27"/>
  <c r="W19" i="27"/>
  <c r="AA15" i="27"/>
  <c r="AP24" i="27"/>
  <c r="AF24" i="27" s="1"/>
  <c r="AA26" i="27"/>
  <c r="AA10" i="27"/>
  <c r="AA18" i="27"/>
  <c r="AN16" i="27"/>
  <c r="AP12" i="27"/>
  <c r="AF12" i="27" s="1"/>
  <c r="AN21" i="27"/>
  <c r="AN23" i="27"/>
  <c r="AN25" i="27"/>
  <c r="AN27" i="27"/>
  <c r="AA14" i="27"/>
  <c r="AN14" i="27"/>
  <c r="Q10" i="27"/>
  <c r="AD10" i="27"/>
  <c r="AD19" i="27" s="1"/>
  <c r="Q12" i="27"/>
  <c r="Q14" i="27"/>
  <c r="Q16" i="27"/>
  <c r="Q18" i="27"/>
  <c r="AP21" i="27"/>
  <c r="AF21" i="27" s="1"/>
  <c r="Y22" i="27"/>
  <c r="AP23" i="27"/>
  <c r="AF23" i="27" s="1"/>
  <c r="Y24" i="27"/>
  <c r="Y26" i="27"/>
  <c r="AF26" i="27"/>
  <c r="Y28" i="27"/>
  <c r="AF28" i="27"/>
  <c r="AA12" i="27"/>
  <c r="AA16" i="27"/>
  <c r="AP10" i="27"/>
  <c r="AF10" i="27" s="1"/>
  <c r="Q23" i="27"/>
  <c r="Q25" i="27"/>
  <c r="Q27" i="27"/>
  <c r="AN10" i="27"/>
  <c r="AN12" i="27"/>
  <c r="AN18" i="27"/>
  <c r="Y10" i="27"/>
  <c r="Y12" i="27"/>
  <c r="Y14" i="27"/>
  <c r="Y16" i="27"/>
  <c r="Y18" i="27"/>
  <c r="Q50" i="26"/>
  <c r="O51" i="26"/>
  <c r="O49" i="26"/>
  <c r="O50" i="26"/>
  <c r="N50" i="26"/>
  <c r="O46" i="26"/>
  <c r="N46" i="26"/>
  <c r="L45" i="26"/>
  <c r="O45" i="26"/>
  <c r="L49" i="26"/>
  <c r="L44" i="26"/>
  <c r="L50" i="26"/>
  <c r="Q65" i="26"/>
  <c r="L51" i="26"/>
  <c r="L46" i="26"/>
  <c r="AN17" i="26"/>
  <c r="Y17" i="26" s="1"/>
  <c r="AA38" i="26"/>
  <c r="AR75" i="26"/>
  <c r="L47" i="26"/>
  <c r="L53" i="26"/>
  <c r="T18" i="26"/>
  <c r="AB18" i="26"/>
  <c r="O12" i="26"/>
  <c r="AP33" i="26"/>
  <c r="AF33" i="26" s="1"/>
  <c r="AA35" i="26"/>
  <c r="AA39" i="26"/>
  <c r="F51" i="26"/>
  <c r="K18" i="26"/>
  <c r="V18" i="26"/>
  <c r="AA33" i="26"/>
  <c r="O35" i="26"/>
  <c r="Q12" i="26"/>
  <c r="O33" i="26"/>
  <c r="AN12" i="26"/>
  <c r="Y12" i="26" s="1"/>
  <c r="Q15" i="26"/>
  <c r="U28" i="26"/>
  <c r="AN30" i="26"/>
  <c r="O34" i="26"/>
  <c r="D28" i="26"/>
  <c r="M28" i="26"/>
  <c r="AF36" i="26"/>
  <c r="AA37" i="26"/>
  <c r="O67" i="26"/>
  <c r="D18" i="26"/>
  <c r="M18" i="26"/>
  <c r="AE18" i="26"/>
  <c r="AF12" i="26"/>
  <c r="Q13" i="26"/>
  <c r="AN14" i="26"/>
  <c r="Y14" i="26" s="1"/>
  <c r="AF15" i="26"/>
  <c r="AP16" i="26"/>
  <c r="AF16" i="26" s="1"/>
  <c r="O21" i="26"/>
  <c r="K40" i="26"/>
  <c r="T40" i="26"/>
  <c r="AB40" i="26"/>
  <c r="AA32" i="26"/>
  <c r="AP32" i="26"/>
  <c r="AF32" i="26" s="1"/>
  <c r="O36" i="26"/>
  <c r="Q45" i="26"/>
  <c r="AA46" i="26"/>
  <c r="Q52" i="26"/>
  <c r="F49" i="26"/>
  <c r="E18" i="26"/>
  <c r="M40" i="26"/>
  <c r="D40" i="26"/>
  <c r="F18" i="26"/>
  <c r="AN21" i="26"/>
  <c r="Y21" i="26" s="1"/>
  <c r="Q26" i="26"/>
  <c r="AP26" i="26"/>
  <c r="AF26" i="26" s="1"/>
  <c r="E40" i="26"/>
  <c r="V40" i="26"/>
  <c r="O32" i="26"/>
  <c r="AA34" i="26"/>
  <c r="AP34" i="26"/>
  <c r="AF34" i="26" s="1"/>
  <c r="Y45" i="26"/>
  <c r="AN45" i="26"/>
  <c r="AA52" i="26"/>
  <c r="P18" i="26"/>
  <c r="AP14" i="26"/>
  <c r="AF14" i="26" s="1"/>
  <c r="U40" i="26"/>
  <c r="S18" i="26"/>
  <c r="O16" i="26"/>
  <c r="W40" i="26"/>
  <c r="F40" i="26"/>
  <c r="Q31" i="26"/>
  <c r="Q38" i="26"/>
  <c r="AP45" i="26"/>
  <c r="AF45" i="26" s="1"/>
  <c r="AP67" i="26"/>
  <c r="AF67" i="26" s="1"/>
  <c r="F52" i="26"/>
  <c r="O14" i="26"/>
  <c r="F47" i="26"/>
  <c r="F53" i="26"/>
  <c r="AE28" i="26"/>
  <c r="AP23" i="26"/>
  <c r="AF23" i="26" s="1"/>
  <c r="AN24" i="26"/>
  <c r="Y24" i="26" s="1"/>
  <c r="E28" i="26"/>
  <c r="AN22" i="26"/>
  <c r="Y22" i="26" s="1"/>
  <c r="P28" i="26"/>
  <c r="Q23" i="26"/>
  <c r="V28" i="26"/>
  <c r="AB28" i="26"/>
  <c r="G70" i="26"/>
  <c r="Q68" i="26"/>
  <c r="W70" i="26"/>
  <c r="P65" i="26"/>
  <c r="V70" i="26"/>
  <c r="AC70" i="26"/>
  <c r="AO66" i="26"/>
  <c r="AO69" i="26"/>
  <c r="Q48" i="26"/>
  <c r="AB70" i="26"/>
  <c r="Q46" i="26"/>
  <c r="AA50" i="26"/>
  <c r="AP65" i="26"/>
  <c r="AF65" i="26" s="1"/>
  <c r="AP68" i="26"/>
  <c r="AF68" i="26" s="1"/>
  <c r="AR71" i="26"/>
  <c r="T70" i="26"/>
  <c r="AA70" i="26"/>
  <c r="AA47" i="26"/>
  <c r="AA48" i="26"/>
  <c r="AA53" i="26"/>
  <c r="J70" i="26"/>
  <c r="U70" i="26"/>
  <c r="H70" i="26"/>
  <c r="AO67" i="26"/>
  <c r="AC18" i="26"/>
  <c r="O17" i="26"/>
  <c r="F28" i="26"/>
  <c r="W28" i="26"/>
  <c r="I18" i="26"/>
  <c r="Q11" i="26"/>
  <c r="W18" i="26"/>
  <c r="AD11" i="26"/>
  <c r="AD18" i="26" s="1"/>
  <c r="O13" i="26"/>
  <c r="AN13" i="26"/>
  <c r="Y13" i="26" s="1"/>
  <c r="I28" i="26"/>
  <c r="R28" i="26"/>
  <c r="X28" i="26"/>
  <c r="I40" i="26"/>
  <c r="R40" i="26"/>
  <c r="X40" i="26"/>
  <c r="Y30" i="26"/>
  <c r="Q30" i="26"/>
  <c r="AP30" i="26"/>
  <c r="AF30" i="26" s="1"/>
  <c r="AF35" i="26"/>
  <c r="Q44" i="26"/>
  <c r="AP44" i="26"/>
  <c r="AF44" i="26" s="1"/>
  <c r="AN44" i="26"/>
  <c r="AF49" i="26"/>
  <c r="Q49" i="26"/>
  <c r="AD65" i="26"/>
  <c r="AD70" i="26" s="1"/>
  <c r="Q66" i="26"/>
  <c r="AP66" i="26"/>
  <c r="AF66" i="26" s="1"/>
  <c r="P68" i="26"/>
  <c r="U18" i="26"/>
  <c r="AD28" i="26"/>
  <c r="P40" i="26"/>
  <c r="AE40" i="26"/>
  <c r="AA51" i="26"/>
  <c r="J18" i="26"/>
  <c r="R18" i="26"/>
  <c r="X18" i="26"/>
  <c r="J28" i="26"/>
  <c r="S28" i="26"/>
  <c r="J40" i="26"/>
  <c r="S40" i="26"/>
  <c r="AF37" i="26"/>
  <c r="Y37" i="26"/>
  <c r="Q37" i="26"/>
  <c r="AF39" i="26"/>
  <c r="Y39" i="26"/>
  <c r="Q39" i="26"/>
  <c r="AF47" i="26"/>
  <c r="Q47" i="26"/>
  <c r="F70" i="26"/>
  <c r="R70" i="26"/>
  <c r="X70" i="26"/>
  <c r="AE70" i="26"/>
  <c r="Q69" i="26"/>
  <c r="AP69" i="26"/>
  <c r="AF69" i="26" s="1"/>
  <c r="AF11" i="26"/>
  <c r="AP17" i="26"/>
  <c r="AF17" i="26" s="1"/>
  <c r="K28" i="26"/>
  <c r="T28" i="26"/>
  <c r="AP22" i="26"/>
  <c r="AF22" i="26" s="1"/>
  <c r="AA26" i="26"/>
  <c r="Y26" i="26"/>
  <c r="S70" i="26"/>
  <c r="Y70" i="26"/>
  <c r="Q25" i="26"/>
  <c r="AP25" i="26"/>
  <c r="AF25" i="26" s="1"/>
  <c r="AC40" i="26"/>
  <c r="O11" i="26"/>
  <c r="AD40" i="26"/>
  <c r="AF51" i="26"/>
  <c r="Y51" i="26"/>
  <c r="Q51" i="26"/>
  <c r="AF53" i="26"/>
  <c r="Y53" i="26"/>
  <c r="Q53" i="26"/>
  <c r="AN11" i="26"/>
  <c r="Y11" i="26" s="1"/>
  <c r="AN15" i="26"/>
  <c r="Y15" i="26" s="1"/>
  <c r="O15" i="26"/>
  <c r="AC28" i="26"/>
  <c r="Y38" i="26"/>
  <c r="AF38" i="26"/>
  <c r="AF46" i="26"/>
  <c r="Y50" i="26"/>
  <c r="AF50" i="26"/>
  <c r="Y52" i="26"/>
  <c r="AF52" i="26"/>
  <c r="AM73" i="26"/>
  <c r="AM74" i="26"/>
  <c r="AP21" i="26"/>
  <c r="AF21" i="26" s="1"/>
  <c r="AP24" i="26"/>
  <c r="AF24" i="26" s="1"/>
  <c r="AP27" i="26"/>
  <c r="AF27" i="26" s="1"/>
  <c r="AP48" i="26"/>
  <c r="AF48" i="26" s="1"/>
  <c r="O31" i="26"/>
  <c r="O65" i="26"/>
  <c r="O68" i="26"/>
  <c r="AA17" i="26" l="1"/>
  <c r="AA55" i="26"/>
  <c r="Y55" i="26"/>
  <c r="F55" i="26"/>
  <c r="Q55" i="26"/>
  <c r="O55" i="26"/>
  <c r="L55" i="26"/>
  <c r="AF55" i="26"/>
  <c r="N55" i="26"/>
  <c r="Q18" i="26"/>
  <c r="AA16" i="26"/>
  <c r="AA18" i="26" s="1"/>
  <c r="N28" i="26"/>
  <c r="O40" i="26"/>
  <c r="O19" i="27"/>
  <c r="N30" i="27"/>
  <c r="O30" i="27"/>
  <c r="N19" i="27"/>
  <c r="AF30" i="27"/>
  <c r="Q30" i="27"/>
  <c r="AA30" i="27"/>
  <c r="Y30" i="27"/>
  <c r="AA28" i="26"/>
  <c r="Y27" i="26"/>
  <c r="Y28" i="26" s="1"/>
  <c r="AF19" i="27"/>
  <c r="Y19" i="27"/>
  <c r="AA19" i="27"/>
  <c r="Q19" i="27"/>
  <c r="AA40" i="26"/>
  <c r="Q70" i="26"/>
  <c r="Y18" i="26"/>
  <c r="AF18" i="26"/>
  <c r="AF40" i="26"/>
  <c r="Q28" i="26"/>
  <c r="O28" i="26"/>
  <c r="K67" i="26"/>
  <c r="P67" i="26"/>
  <c r="P69" i="26"/>
  <c r="K69" i="26"/>
  <c r="P66" i="26"/>
  <c r="K66" i="26"/>
  <c r="AF28" i="26"/>
  <c r="O70" i="26"/>
  <c r="AF70" i="26"/>
  <c r="Q40" i="26"/>
  <c r="O18" i="26"/>
  <c r="Y40" i="26"/>
  <c r="P70" i="26" l="1"/>
  <c r="K70" i="26"/>
  <c r="M69" i="22" l="1"/>
  <c r="K69" i="22"/>
  <c r="D69" i="22"/>
  <c r="X29" i="23" l="1"/>
  <c r="M29" i="23"/>
  <c r="H29" i="23"/>
  <c r="G29" i="23"/>
  <c r="B29" i="23"/>
  <c r="AP28" i="23"/>
  <c r="AN28" i="23"/>
  <c r="AK28" i="23"/>
  <c r="AC28" i="23"/>
  <c r="AA28" i="23"/>
  <c r="AB28" i="23" s="1"/>
  <c r="Z28" i="23"/>
  <c r="V28" i="23"/>
  <c r="U28" i="23"/>
  <c r="T28" i="23"/>
  <c r="S28" i="23"/>
  <c r="R28" i="23"/>
  <c r="Q28" i="23"/>
  <c r="P28" i="23"/>
  <c r="N28" i="23"/>
  <c r="L28" i="23"/>
  <c r="K28" i="23"/>
  <c r="J28" i="23"/>
  <c r="I28" i="23"/>
  <c r="F28" i="23"/>
  <c r="E28" i="23"/>
  <c r="D28" i="23"/>
  <c r="AP27" i="23"/>
  <c r="AN27" i="23"/>
  <c r="AK27" i="23"/>
  <c r="AL27" i="23" s="1"/>
  <c r="AC27" i="23"/>
  <c r="AA27" i="23"/>
  <c r="AB27" i="23" s="1"/>
  <c r="Z27" i="23"/>
  <c r="V27" i="23"/>
  <c r="U27" i="23"/>
  <c r="T27" i="23"/>
  <c r="S27" i="23"/>
  <c r="R27" i="23"/>
  <c r="Q27" i="23"/>
  <c r="P27" i="23"/>
  <c r="N27" i="23"/>
  <c r="L27" i="23"/>
  <c r="K27" i="23"/>
  <c r="J27" i="23"/>
  <c r="I27" i="23"/>
  <c r="F27" i="23"/>
  <c r="E27" i="23"/>
  <c r="D27" i="23"/>
  <c r="AP26" i="23"/>
  <c r="AN26" i="23"/>
  <c r="AK26" i="23"/>
  <c r="AC26" i="23"/>
  <c r="AA26" i="23"/>
  <c r="AB26" i="23" s="1"/>
  <c r="Z26" i="23"/>
  <c r="V26" i="23"/>
  <c r="U26" i="23"/>
  <c r="T26" i="23"/>
  <c r="S26" i="23"/>
  <c r="R26" i="23"/>
  <c r="Q26" i="23"/>
  <c r="P26" i="23"/>
  <c r="N26" i="23"/>
  <c r="L26" i="23"/>
  <c r="K26" i="23"/>
  <c r="J26" i="23"/>
  <c r="I26" i="23"/>
  <c r="F26" i="23"/>
  <c r="E26" i="23"/>
  <c r="D26" i="23"/>
  <c r="AP25" i="23"/>
  <c r="AN25" i="23"/>
  <c r="AK25" i="23"/>
  <c r="O25" i="23" s="1"/>
  <c r="AC25" i="23"/>
  <c r="AA25" i="23"/>
  <c r="AB25" i="23" s="1"/>
  <c r="Z25" i="23"/>
  <c r="V25" i="23"/>
  <c r="U25" i="23"/>
  <c r="T25" i="23"/>
  <c r="S25" i="23"/>
  <c r="R25" i="23"/>
  <c r="Q25" i="23"/>
  <c r="P25" i="23"/>
  <c r="N25" i="23"/>
  <c r="L25" i="23"/>
  <c r="K25" i="23"/>
  <c r="J25" i="23"/>
  <c r="I25" i="23"/>
  <c r="F25" i="23"/>
  <c r="E25" i="23"/>
  <c r="D25" i="23"/>
  <c r="AP24" i="23"/>
  <c r="AK24" i="23"/>
  <c r="AN24" i="23" s="1"/>
  <c r="AC24" i="23"/>
  <c r="AA24" i="23"/>
  <c r="AB24" i="23" s="1"/>
  <c r="Z24" i="23"/>
  <c r="R24" i="23"/>
  <c r="Q24" i="23"/>
  <c r="P24" i="23"/>
  <c r="N24" i="23"/>
  <c r="L24" i="23"/>
  <c r="K24" i="23"/>
  <c r="J24" i="23"/>
  <c r="I24" i="23"/>
  <c r="F24" i="23"/>
  <c r="E24" i="23"/>
  <c r="D24" i="23"/>
  <c r="AP23" i="23"/>
  <c r="AK23" i="23"/>
  <c r="W23" i="23" s="1"/>
  <c r="AC23" i="23"/>
  <c r="AA23" i="23"/>
  <c r="AB23" i="23" s="1"/>
  <c r="Z23" i="23"/>
  <c r="V23" i="23"/>
  <c r="U23" i="23"/>
  <c r="T23" i="23"/>
  <c r="S23" i="23"/>
  <c r="R23" i="23"/>
  <c r="Q23" i="23"/>
  <c r="P23" i="23"/>
  <c r="N23" i="23"/>
  <c r="L23" i="23"/>
  <c r="K23" i="23"/>
  <c r="J23" i="23"/>
  <c r="I23" i="23"/>
  <c r="F23" i="23"/>
  <c r="E23" i="23"/>
  <c r="D23" i="23"/>
  <c r="AP22" i="23"/>
  <c r="AK22" i="23"/>
  <c r="AN22" i="23" s="1"/>
  <c r="AC22" i="23"/>
  <c r="AA22" i="23"/>
  <c r="AB22" i="23" s="1"/>
  <c r="Z22" i="23"/>
  <c r="V22" i="23"/>
  <c r="U22" i="23"/>
  <c r="T22" i="23"/>
  <c r="S22" i="23"/>
  <c r="R22" i="23"/>
  <c r="Q22" i="23"/>
  <c r="P22" i="23"/>
  <c r="N22" i="23"/>
  <c r="L22" i="23"/>
  <c r="K22" i="23"/>
  <c r="J22" i="23"/>
  <c r="I22" i="23"/>
  <c r="F22" i="23"/>
  <c r="E22" i="23"/>
  <c r="D22" i="23"/>
  <c r="AP21" i="23"/>
  <c r="AK21" i="23"/>
  <c r="AN21" i="23" s="1"/>
  <c r="AC21" i="23"/>
  <c r="AA21" i="23"/>
  <c r="Z21" i="23"/>
  <c r="V21" i="23"/>
  <c r="U21" i="23"/>
  <c r="T21" i="23"/>
  <c r="S21" i="23"/>
  <c r="R21" i="23"/>
  <c r="Q21" i="23"/>
  <c r="P21" i="23"/>
  <c r="N21" i="23"/>
  <c r="L21" i="23"/>
  <c r="K21" i="23"/>
  <c r="J21" i="23"/>
  <c r="I21" i="23"/>
  <c r="F21" i="23"/>
  <c r="E21" i="23"/>
  <c r="D21" i="23"/>
  <c r="X19" i="23"/>
  <c r="M19" i="23"/>
  <c r="H19" i="23"/>
  <c r="G19" i="23"/>
  <c r="B19" i="23"/>
  <c r="AP18" i="23"/>
  <c r="AN18" i="23"/>
  <c r="AK18" i="23"/>
  <c r="AC18" i="23"/>
  <c r="AA18" i="23"/>
  <c r="AB18" i="23" s="1"/>
  <c r="Z18" i="23"/>
  <c r="V18" i="23"/>
  <c r="U18" i="23"/>
  <c r="T18" i="23"/>
  <c r="S18" i="23"/>
  <c r="R18" i="23"/>
  <c r="Q18" i="23"/>
  <c r="P18" i="23"/>
  <c r="N18" i="23"/>
  <c r="L18" i="23"/>
  <c r="K18" i="23"/>
  <c r="J18" i="23"/>
  <c r="I18" i="23"/>
  <c r="F18" i="23"/>
  <c r="E18" i="23"/>
  <c r="D18" i="23"/>
  <c r="AP17" i="23"/>
  <c r="AN17" i="23"/>
  <c r="AK17" i="23"/>
  <c r="O17" i="23" s="1"/>
  <c r="AC17" i="23"/>
  <c r="AA17" i="23"/>
  <c r="AB17" i="23" s="1"/>
  <c r="Z17" i="23"/>
  <c r="V17" i="23"/>
  <c r="U17" i="23"/>
  <c r="T17" i="23"/>
  <c r="S17" i="23"/>
  <c r="R17" i="23"/>
  <c r="Q17" i="23"/>
  <c r="P17" i="23"/>
  <c r="N17" i="23"/>
  <c r="L17" i="23"/>
  <c r="K17" i="23"/>
  <c r="J17" i="23"/>
  <c r="I17" i="23"/>
  <c r="F17" i="23"/>
  <c r="E17" i="23"/>
  <c r="D17" i="23"/>
  <c r="AP16" i="23"/>
  <c r="AN16" i="23"/>
  <c r="AK16" i="23"/>
  <c r="AC16" i="23"/>
  <c r="AA16" i="23"/>
  <c r="AB16" i="23" s="1"/>
  <c r="Z16" i="23"/>
  <c r="V16" i="23"/>
  <c r="U16" i="23"/>
  <c r="T16" i="23"/>
  <c r="S16" i="23"/>
  <c r="R16" i="23"/>
  <c r="Q16" i="23"/>
  <c r="P16" i="23"/>
  <c r="N16" i="23"/>
  <c r="L16" i="23"/>
  <c r="K16" i="23"/>
  <c r="J16" i="23"/>
  <c r="I16" i="23"/>
  <c r="F16" i="23"/>
  <c r="E16" i="23"/>
  <c r="D16" i="23"/>
  <c r="AP15" i="23"/>
  <c r="AN15" i="23"/>
  <c r="AK15" i="23"/>
  <c r="AL15" i="23" s="1"/>
  <c r="AC15" i="23"/>
  <c r="AA15" i="23"/>
  <c r="AB15" i="23" s="1"/>
  <c r="Z15" i="23"/>
  <c r="V15" i="23"/>
  <c r="U15" i="23"/>
  <c r="T15" i="23"/>
  <c r="S15" i="23"/>
  <c r="R15" i="23"/>
  <c r="Q15" i="23"/>
  <c r="P15" i="23"/>
  <c r="N15" i="23"/>
  <c r="L15" i="23"/>
  <c r="K15" i="23"/>
  <c r="J15" i="23"/>
  <c r="I15" i="23"/>
  <c r="F15" i="23"/>
  <c r="E15" i="23"/>
  <c r="D15" i="23"/>
  <c r="AP14" i="23"/>
  <c r="AN14" i="23"/>
  <c r="AK14" i="23"/>
  <c r="AC14" i="23"/>
  <c r="AA14" i="23"/>
  <c r="AB14" i="23" s="1"/>
  <c r="Z14" i="23"/>
  <c r="V14" i="23"/>
  <c r="U14" i="23"/>
  <c r="T14" i="23"/>
  <c r="S14" i="23"/>
  <c r="R14" i="23"/>
  <c r="Q14" i="23"/>
  <c r="P14" i="23"/>
  <c r="N14" i="23"/>
  <c r="L14" i="23"/>
  <c r="K14" i="23"/>
  <c r="J14" i="23"/>
  <c r="I14" i="23"/>
  <c r="F14" i="23"/>
  <c r="E14" i="23"/>
  <c r="D14" i="23"/>
  <c r="AP13" i="23"/>
  <c r="AK13" i="23"/>
  <c r="AL13" i="23" s="1"/>
  <c r="AC13" i="23"/>
  <c r="AA13" i="23"/>
  <c r="AB13" i="23" s="1"/>
  <c r="Z13" i="23"/>
  <c r="V13" i="23"/>
  <c r="U13" i="23"/>
  <c r="T13" i="23"/>
  <c r="S13" i="23"/>
  <c r="R13" i="23"/>
  <c r="Q13" i="23"/>
  <c r="P13" i="23"/>
  <c r="N13" i="23"/>
  <c r="L13" i="23"/>
  <c r="K13" i="23"/>
  <c r="J13" i="23"/>
  <c r="I13" i="23"/>
  <c r="F13" i="23"/>
  <c r="E13" i="23"/>
  <c r="D13" i="23"/>
  <c r="AP12" i="23"/>
  <c r="AK12" i="23"/>
  <c r="AC12" i="23"/>
  <c r="AA12" i="23"/>
  <c r="AB12" i="23" s="1"/>
  <c r="Z12" i="23"/>
  <c r="V12" i="23"/>
  <c r="U12" i="23"/>
  <c r="T12" i="23"/>
  <c r="S12" i="23"/>
  <c r="R12" i="23"/>
  <c r="Q12" i="23"/>
  <c r="P12" i="23"/>
  <c r="N12" i="23"/>
  <c r="L12" i="23"/>
  <c r="K12" i="23"/>
  <c r="J12" i="23"/>
  <c r="I12" i="23"/>
  <c r="F12" i="23"/>
  <c r="E12" i="23"/>
  <c r="D12" i="23"/>
  <c r="AP11" i="23"/>
  <c r="AK11" i="23"/>
  <c r="AL11" i="23" s="1"/>
  <c r="AC11" i="23"/>
  <c r="AA11" i="23"/>
  <c r="AB11" i="23" s="1"/>
  <c r="Z11" i="23"/>
  <c r="V11" i="23"/>
  <c r="U11" i="23"/>
  <c r="T11" i="23"/>
  <c r="S11" i="23"/>
  <c r="R11" i="23"/>
  <c r="Q11" i="23"/>
  <c r="P11" i="23"/>
  <c r="N11" i="23"/>
  <c r="L11" i="23"/>
  <c r="K11" i="23"/>
  <c r="J11" i="23"/>
  <c r="I11" i="23"/>
  <c r="F11" i="23"/>
  <c r="E11" i="23"/>
  <c r="D11" i="23"/>
  <c r="AP10" i="23"/>
  <c r="AK10" i="23"/>
  <c r="Y10" i="23" s="1"/>
  <c r="AC10" i="23"/>
  <c r="AA10" i="23"/>
  <c r="Z10" i="23"/>
  <c r="V10" i="23"/>
  <c r="U10" i="23"/>
  <c r="T10" i="23"/>
  <c r="S10" i="23"/>
  <c r="R10" i="23"/>
  <c r="Q10" i="23"/>
  <c r="P10" i="23"/>
  <c r="N10" i="23"/>
  <c r="L10" i="23"/>
  <c r="K10" i="23"/>
  <c r="J10" i="23"/>
  <c r="I10" i="23"/>
  <c r="F10" i="23"/>
  <c r="E10" i="23"/>
  <c r="D10" i="23"/>
  <c r="AO70" i="22"/>
  <c r="AP70" i="22" s="1"/>
  <c r="AO69" i="22"/>
  <c r="AP69" i="22" s="1"/>
  <c r="AO68" i="22"/>
  <c r="AP68" i="22" s="1"/>
  <c r="AO66" i="22"/>
  <c r="AK66" i="22" s="1"/>
  <c r="Y66" i="22"/>
  <c r="W66" i="22"/>
  <c r="R66" i="22"/>
  <c r="M66" i="22"/>
  <c r="K66" i="22"/>
  <c r="G66" i="22"/>
  <c r="X65" i="22"/>
  <c r="I65" i="22"/>
  <c r="B65" i="22"/>
  <c r="AP64" i="22"/>
  <c r="AK64" i="22"/>
  <c r="AN64" i="22" s="1"/>
  <c r="AC64" i="22"/>
  <c r="AA64" i="22"/>
  <c r="AB64" i="22" s="1"/>
  <c r="Z64" i="22"/>
  <c r="Y64" i="22"/>
  <c r="W64" i="22"/>
  <c r="V64" i="22"/>
  <c r="U64" i="22"/>
  <c r="T64" i="22"/>
  <c r="S64" i="22"/>
  <c r="R64" i="22"/>
  <c r="Q64" i="22"/>
  <c r="P64" i="22"/>
  <c r="J64" i="22"/>
  <c r="H64" i="22"/>
  <c r="G64" i="22"/>
  <c r="F64" i="22"/>
  <c r="AP63" i="22"/>
  <c r="AK63" i="22"/>
  <c r="O63" i="22" s="1"/>
  <c r="AC63" i="22"/>
  <c r="AA63" i="22"/>
  <c r="AB63" i="22" s="1"/>
  <c r="Z63" i="22"/>
  <c r="Y63" i="22"/>
  <c r="W63" i="22"/>
  <c r="V63" i="22"/>
  <c r="U63" i="22"/>
  <c r="T63" i="22"/>
  <c r="S63" i="22"/>
  <c r="R63" i="22"/>
  <c r="Q63" i="22"/>
  <c r="P63" i="22"/>
  <c r="J63" i="22"/>
  <c r="H63" i="22"/>
  <c r="G63" i="22"/>
  <c r="F63" i="22"/>
  <c r="AP62" i="22"/>
  <c r="AK62" i="22"/>
  <c r="AN62" i="22" s="1"/>
  <c r="AC62" i="22"/>
  <c r="AA62" i="22"/>
  <c r="AB62" i="22" s="1"/>
  <c r="Z62" i="22"/>
  <c r="Y62" i="22"/>
  <c r="W62" i="22"/>
  <c r="V62" i="22"/>
  <c r="U62" i="22"/>
  <c r="T62" i="22"/>
  <c r="S62" i="22"/>
  <c r="R62" i="22"/>
  <c r="Q62" i="22"/>
  <c r="P62" i="22"/>
  <c r="J62" i="22"/>
  <c r="H62" i="22"/>
  <c r="G62" i="22"/>
  <c r="F62" i="22"/>
  <c r="AP61" i="22"/>
  <c r="AK61" i="22"/>
  <c r="AM61" i="22" s="1"/>
  <c r="AC61" i="22"/>
  <c r="AA61" i="22"/>
  <c r="AB61" i="22" s="1"/>
  <c r="Z61" i="22"/>
  <c r="Y61" i="22"/>
  <c r="W61" i="22"/>
  <c r="V61" i="22"/>
  <c r="U61" i="22"/>
  <c r="T61" i="22"/>
  <c r="S61" i="22"/>
  <c r="R61" i="22"/>
  <c r="Q61" i="22"/>
  <c r="P61" i="22"/>
  <c r="J61" i="22"/>
  <c r="H61" i="22"/>
  <c r="G61" i="22"/>
  <c r="F61" i="22"/>
  <c r="AP60" i="22"/>
  <c r="AK60" i="22"/>
  <c r="O60" i="22" s="1"/>
  <c r="AC60" i="22"/>
  <c r="AA60" i="22"/>
  <c r="Z60" i="22"/>
  <c r="Y60" i="22"/>
  <c r="W60" i="22"/>
  <c r="V60" i="22"/>
  <c r="U60" i="22"/>
  <c r="T60" i="22"/>
  <c r="S60" i="22"/>
  <c r="R60" i="22"/>
  <c r="Q60" i="22"/>
  <c r="P60" i="22"/>
  <c r="J60" i="22"/>
  <c r="H60" i="22"/>
  <c r="G60" i="22"/>
  <c r="F60" i="22"/>
  <c r="X58" i="22"/>
  <c r="I58" i="22"/>
  <c r="B58" i="22"/>
  <c r="AP57" i="22"/>
  <c r="AK57" i="22"/>
  <c r="O57" i="22" s="1"/>
  <c r="AC57" i="22"/>
  <c r="AA57" i="22"/>
  <c r="AB57" i="22" s="1"/>
  <c r="Z57" i="22"/>
  <c r="Y57" i="22"/>
  <c r="W57" i="22"/>
  <c r="V57" i="22"/>
  <c r="U57" i="22"/>
  <c r="T57" i="22"/>
  <c r="S57" i="22"/>
  <c r="R57" i="22"/>
  <c r="Q57" i="22"/>
  <c r="P57" i="22"/>
  <c r="J57" i="22"/>
  <c r="H57" i="22"/>
  <c r="G57" i="22"/>
  <c r="F57" i="22"/>
  <c r="AP56" i="22"/>
  <c r="AK56" i="22"/>
  <c r="AC56" i="22"/>
  <c r="AA56" i="22"/>
  <c r="AB56" i="22" s="1"/>
  <c r="Z56" i="22"/>
  <c r="Y56" i="22"/>
  <c r="W56" i="22"/>
  <c r="V56" i="22"/>
  <c r="U56" i="22"/>
  <c r="T56" i="22"/>
  <c r="S56" i="22"/>
  <c r="R56" i="22"/>
  <c r="Q56" i="22"/>
  <c r="P56" i="22"/>
  <c r="J56" i="22"/>
  <c r="H56" i="22"/>
  <c r="G56" i="22"/>
  <c r="F56" i="22"/>
  <c r="AP55" i="22"/>
  <c r="AK55" i="22"/>
  <c r="AM55" i="22" s="1"/>
  <c r="AC55" i="22"/>
  <c r="AA55" i="22"/>
  <c r="AB55" i="22" s="1"/>
  <c r="Z55" i="22"/>
  <c r="Y55" i="22"/>
  <c r="W55" i="22"/>
  <c r="V55" i="22"/>
  <c r="U55" i="22"/>
  <c r="T55" i="22"/>
  <c r="S55" i="22"/>
  <c r="R55" i="22"/>
  <c r="Q55" i="22"/>
  <c r="P55" i="22"/>
  <c r="J55" i="22"/>
  <c r="H55" i="22"/>
  <c r="G55" i="22"/>
  <c r="F55" i="22"/>
  <c r="AP54" i="22"/>
  <c r="AK54" i="22"/>
  <c r="M54" i="22" s="1"/>
  <c r="AC54" i="22"/>
  <c r="AA54" i="22"/>
  <c r="AB54" i="22" s="1"/>
  <c r="Z54" i="22"/>
  <c r="Y54" i="22"/>
  <c r="W54" i="22"/>
  <c r="V54" i="22"/>
  <c r="U54" i="22"/>
  <c r="T54" i="22"/>
  <c r="S54" i="22"/>
  <c r="R54" i="22"/>
  <c r="Q54" i="22"/>
  <c r="P54" i="22"/>
  <c r="J54" i="22"/>
  <c r="H54" i="22"/>
  <c r="G54" i="22"/>
  <c r="F54" i="22"/>
  <c r="AP53" i="22"/>
  <c r="AK53" i="22"/>
  <c r="AC53" i="22"/>
  <c r="AA53" i="22"/>
  <c r="AB53" i="22" s="1"/>
  <c r="Z53" i="22"/>
  <c r="Z58" i="22" s="1"/>
  <c r="Y53" i="22"/>
  <c r="W53" i="22"/>
  <c r="V53" i="22"/>
  <c r="U53" i="22"/>
  <c r="T53" i="22"/>
  <c r="S53" i="22"/>
  <c r="R53" i="22"/>
  <c r="Q53" i="22"/>
  <c r="P53" i="22"/>
  <c r="J53" i="22"/>
  <c r="H53" i="22"/>
  <c r="G53" i="22"/>
  <c r="F53" i="22"/>
  <c r="X51" i="22"/>
  <c r="H51" i="22"/>
  <c r="G51" i="22"/>
  <c r="AP50" i="22"/>
  <c r="AN50" i="22"/>
  <c r="AK50" i="22"/>
  <c r="W50" i="22" s="1"/>
  <c r="AC50" i="22"/>
  <c r="AA50" i="22"/>
  <c r="AB50" i="22" s="1"/>
  <c r="Z50" i="22"/>
  <c r="V50" i="22"/>
  <c r="U50" i="22"/>
  <c r="T50" i="22"/>
  <c r="S50" i="22"/>
  <c r="R50" i="22"/>
  <c r="Q50" i="22"/>
  <c r="P50" i="22"/>
  <c r="N50" i="22"/>
  <c r="L50" i="22"/>
  <c r="K50" i="22"/>
  <c r="J50" i="22"/>
  <c r="I50" i="22"/>
  <c r="F50" i="22"/>
  <c r="E50" i="22"/>
  <c r="D50" i="22"/>
  <c r="AP49" i="22"/>
  <c r="AN49" i="22"/>
  <c r="AK49" i="22"/>
  <c r="M49" i="22" s="1"/>
  <c r="AC49" i="22"/>
  <c r="AA49" i="22"/>
  <c r="AB49" i="22" s="1"/>
  <c r="Z49" i="22"/>
  <c r="V49" i="22"/>
  <c r="U49" i="22"/>
  <c r="T49" i="22"/>
  <c r="S49" i="22"/>
  <c r="R49" i="22"/>
  <c r="Q49" i="22"/>
  <c r="P49" i="22"/>
  <c r="N49" i="22"/>
  <c r="L49" i="22"/>
  <c r="K49" i="22"/>
  <c r="J49" i="22"/>
  <c r="I49" i="22"/>
  <c r="E49" i="22"/>
  <c r="D49" i="22"/>
  <c r="AP48" i="22"/>
  <c r="AN48" i="22"/>
  <c r="AK48" i="22"/>
  <c r="M48" i="22" s="1"/>
  <c r="AC48" i="22"/>
  <c r="AA48" i="22"/>
  <c r="AB48" i="22" s="1"/>
  <c r="Z48" i="22"/>
  <c r="V48" i="22"/>
  <c r="U48" i="22"/>
  <c r="T48" i="22"/>
  <c r="S48" i="22"/>
  <c r="R48" i="22"/>
  <c r="Q48" i="22"/>
  <c r="P48" i="22"/>
  <c r="N48" i="22"/>
  <c r="L48" i="22"/>
  <c r="K48" i="22"/>
  <c r="J48" i="22"/>
  <c r="I48" i="22"/>
  <c r="E48" i="22"/>
  <c r="D48" i="22"/>
  <c r="AP47" i="22"/>
  <c r="AN47" i="22"/>
  <c r="AK47" i="22"/>
  <c r="M47" i="22" s="1"/>
  <c r="AC47" i="22"/>
  <c r="AA47" i="22"/>
  <c r="AB47" i="22" s="1"/>
  <c r="Z47" i="22"/>
  <c r="V47" i="22"/>
  <c r="U47" i="22"/>
  <c r="T47" i="22"/>
  <c r="S47" i="22"/>
  <c r="R47" i="22"/>
  <c r="Q47" i="22"/>
  <c r="P47" i="22"/>
  <c r="N47" i="22"/>
  <c r="L47" i="22"/>
  <c r="K47" i="22"/>
  <c r="J47" i="22"/>
  <c r="I47" i="22"/>
  <c r="E47" i="22"/>
  <c r="D47" i="22"/>
  <c r="AP46" i="22"/>
  <c r="AN46" i="22"/>
  <c r="AK46" i="22"/>
  <c r="M46" i="22" s="1"/>
  <c r="AC46" i="22"/>
  <c r="AA46" i="22"/>
  <c r="AB46" i="22" s="1"/>
  <c r="Z46" i="22"/>
  <c r="W46" i="22"/>
  <c r="V46" i="22"/>
  <c r="U46" i="22"/>
  <c r="T46" i="22"/>
  <c r="S46" i="22"/>
  <c r="R46" i="22"/>
  <c r="Q46" i="22"/>
  <c r="P46" i="22"/>
  <c r="N46" i="22"/>
  <c r="L46" i="22"/>
  <c r="K46" i="22"/>
  <c r="J46" i="22"/>
  <c r="I46" i="22"/>
  <c r="E46" i="22"/>
  <c r="D46" i="22"/>
  <c r="AP45" i="22"/>
  <c r="AK45" i="22"/>
  <c r="AN45" i="22" s="1"/>
  <c r="AC45" i="22"/>
  <c r="AA45" i="22"/>
  <c r="AB45" i="22" s="1"/>
  <c r="Z45" i="22"/>
  <c r="W45" i="22"/>
  <c r="V45" i="22"/>
  <c r="S45" i="22"/>
  <c r="R45" i="22"/>
  <c r="Q45" i="22"/>
  <c r="P45" i="22"/>
  <c r="N45" i="22"/>
  <c r="L45" i="22"/>
  <c r="K45" i="22"/>
  <c r="J45" i="22"/>
  <c r="I45" i="22"/>
  <c r="E45" i="22"/>
  <c r="D45" i="22"/>
  <c r="AP44" i="22"/>
  <c r="AK44" i="22"/>
  <c r="AN44" i="22" s="1"/>
  <c r="AC44" i="22"/>
  <c r="AA44" i="22"/>
  <c r="AB44" i="22" s="1"/>
  <c r="Z44" i="22"/>
  <c r="W44" i="22"/>
  <c r="V44" i="22"/>
  <c r="S44" i="22"/>
  <c r="R44" i="22"/>
  <c r="Q44" i="22"/>
  <c r="P44" i="22"/>
  <c r="N44" i="22"/>
  <c r="L44" i="22"/>
  <c r="K44" i="22"/>
  <c r="J44" i="22"/>
  <c r="I44" i="22"/>
  <c r="E44" i="22"/>
  <c r="D44" i="22"/>
  <c r="AP43" i="22"/>
  <c r="AK43" i="22"/>
  <c r="AN43" i="22" s="1"/>
  <c r="AC43" i="22"/>
  <c r="AA43" i="22"/>
  <c r="AB43" i="22" s="1"/>
  <c r="Z43" i="22"/>
  <c r="W43" i="22"/>
  <c r="V43" i="22"/>
  <c r="S43" i="22"/>
  <c r="R43" i="22"/>
  <c r="Q43" i="22"/>
  <c r="P43" i="22"/>
  <c r="N43" i="22"/>
  <c r="L43" i="22"/>
  <c r="K43" i="22"/>
  <c r="J43" i="22"/>
  <c r="I43" i="22"/>
  <c r="F43" i="22"/>
  <c r="E43" i="22"/>
  <c r="D43" i="22"/>
  <c r="AP42" i="22"/>
  <c r="AK42" i="22"/>
  <c r="AC42" i="22"/>
  <c r="AA42" i="22"/>
  <c r="AB42" i="22" s="1"/>
  <c r="Z42" i="22"/>
  <c r="Y42" i="22"/>
  <c r="V42" i="22"/>
  <c r="S42" i="22"/>
  <c r="R42" i="22"/>
  <c r="Q42" i="22"/>
  <c r="P42" i="22"/>
  <c r="N42" i="22"/>
  <c r="L42" i="22"/>
  <c r="K42" i="22"/>
  <c r="J42" i="22"/>
  <c r="I42" i="22"/>
  <c r="F42" i="22"/>
  <c r="E42" i="22"/>
  <c r="D42" i="22"/>
  <c r="AP41" i="22"/>
  <c r="AK41" i="22"/>
  <c r="AN41" i="22" s="1"/>
  <c r="AC41" i="22"/>
  <c r="AA41" i="22"/>
  <c r="AB41" i="22" s="1"/>
  <c r="Z41" i="22"/>
  <c r="Y41" i="22"/>
  <c r="V41" i="22"/>
  <c r="S41" i="22"/>
  <c r="R41" i="22"/>
  <c r="Q41" i="22"/>
  <c r="P41" i="22"/>
  <c r="N41" i="22"/>
  <c r="L41" i="22"/>
  <c r="K41" i="22"/>
  <c r="J41" i="22"/>
  <c r="I41" i="22"/>
  <c r="F41" i="22"/>
  <c r="E41" i="22"/>
  <c r="D41" i="22"/>
  <c r="X39" i="22"/>
  <c r="H39" i="22"/>
  <c r="G39" i="22"/>
  <c r="B39" i="22"/>
  <c r="AP38" i="22"/>
  <c r="AN38" i="22"/>
  <c r="AK38" i="22"/>
  <c r="M38" i="22" s="1"/>
  <c r="AC38" i="22"/>
  <c r="AA38" i="22"/>
  <c r="AB38" i="22" s="1"/>
  <c r="Z38" i="22"/>
  <c r="V38" i="22"/>
  <c r="U38" i="22"/>
  <c r="T38" i="22"/>
  <c r="S38" i="22"/>
  <c r="R38" i="22"/>
  <c r="Q38" i="22"/>
  <c r="P38" i="22"/>
  <c r="N38" i="22"/>
  <c r="L38" i="22"/>
  <c r="K38" i="22"/>
  <c r="J38" i="22"/>
  <c r="I38" i="22"/>
  <c r="F38" i="22"/>
  <c r="E38" i="22"/>
  <c r="D38" i="22"/>
  <c r="AP37" i="22"/>
  <c r="AN37" i="22"/>
  <c r="AK37" i="22"/>
  <c r="M37" i="22" s="1"/>
  <c r="AC37" i="22"/>
  <c r="AA37" i="22"/>
  <c r="AB37" i="22" s="1"/>
  <c r="Z37" i="22"/>
  <c r="V37" i="22"/>
  <c r="U37" i="22"/>
  <c r="T37" i="22"/>
  <c r="S37" i="22"/>
  <c r="R37" i="22"/>
  <c r="Q37" i="22"/>
  <c r="P37" i="22"/>
  <c r="N37" i="22"/>
  <c r="L37" i="22"/>
  <c r="K37" i="22"/>
  <c r="J37" i="22"/>
  <c r="I37" i="22"/>
  <c r="F37" i="22"/>
  <c r="E37" i="22"/>
  <c r="D37" i="22"/>
  <c r="AP36" i="22"/>
  <c r="AN36" i="22"/>
  <c r="AK36" i="22"/>
  <c r="M36" i="22" s="1"/>
  <c r="AC36" i="22"/>
  <c r="AA36" i="22"/>
  <c r="AB36" i="22" s="1"/>
  <c r="Z36" i="22"/>
  <c r="V36" i="22"/>
  <c r="U36" i="22"/>
  <c r="T36" i="22"/>
  <c r="S36" i="22"/>
  <c r="R36" i="22"/>
  <c r="Q36" i="22"/>
  <c r="P36" i="22"/>
  <c r="N36" i="22"/>
  <c r="L36" i="22"/>
  <c r="K36" i="22"/>
  <c r="J36" i="22"/>
  <c r="I36" i="22"/>
  <c r="F36" i="22"/>
  <c r="E36" i="22"/>
  <c r="D36" i="22"/>
  <c r="AR35" i="22"/>
  <c r="AP35" i="22"/>
  <c r="AN35" i="22"/>
  <c r="AK35" i="22"/>
  <c r="AC35" i="22"/>
  <c r="AA35" i="22"/>
  <c r="AB35" i="22" s="1"/>
  <c r="Z35" i="22"/>
  <c r="V35" i="22"/>
  <c r="U35" i="22"/>
  <c r="T35" i="22"/>
  <c r="S35" i="22"/>
  <c r="R35" i="22"/>
  <c r="Q35" i="22"/>
  <c r="P35" i="22"/>
  <c r="N35" i="22"/>
  <c r="L35" i="22"/>
  <c r="K35" i="22"/>
  <c r="J35" i="22"/>
  <c r="I35" i="22"/>
  <c r="F35" i="22"/>
  <c r="E35" i="22"/>
  <c r="D35" i="22"/>
  <c r="AP34" i="22"/>
  <c r="AN34" i="22"/>
  <c r="AK34" i="22"/>
  <c r="Y34" i="22" s="1"/>
  <c r="AC34" i="22"/>
  <c r="AA34" i="22"/>
  <c r="AB34" i="22" s="1"/>
  <c r="Z34" i="22"/>
  <c r="W34" i="22"/>
  <c r="V34" i="22"/>
  <c r="U34" i="22"/>
  <c r="T34" i="22"/>
  <c r="S34" i="22"/>
  <c r="R34" i="22"/>
  <c r="Q34" i="22"/>
  <c r="P34" i="22"/>
  <c r="N34" i="22"/>
  <c r="L34" i="22"/>
  <c r="K34" i="22"/>
  <c r="J34" i="22"/>
  <c r="I34" i="22"/>
  <c r="F34" i="22"/>
  <c r="E34" i="22"/>
  <c r="D34" i="22"/>
  <c r="AP33" i="22"/>
  <c r="AK33" i="22"/>
  <c r="M33" i="22" s="1"/>
  <c r="AC33" i="22"/>
  <c r="AA33" i="22"/>
  <c r="AB33" i="22" s="1"/>
  <c r="Z33" i="22"/>
  <c r="W33" i="22"/>
  <c r="V33" i="22"/>
  <c r="U33" i="22"/>
  <c r="T33" i="22"/>
  <c r="S33" i="22"/>
  <c r="R33" i="22"/>
  <c r="Q33" i="22"/>
  <c r="P33" i="22"/>
  <c r="N33" i="22"/>
  <c r="L33" i="22"/>
  <c r="K33" i="22"/>
  <c r="J33" i="22"/>
  <c r="I33" i="22"/>
  <c r="F33" i="22"/>
  <c r="E33" i="22"/>
  <c r="D33" i="22"/>
  <c r="AP32" i="22"/>
  <c r="AK32" i="22"/>
  <c r="AC32" i="22"/>
  <c r="AA32" i="22"/>
  <c r="AB32" i="22" s="1"/>
  <c r="Z32" i="22"/>
  <c r="W32" i="22"/>
  <c r="V32" i="22"/>
  <c r="U32" i="22"/>
  <c r="T32" i="22"/>
  <c r="S32" i="22"/>
  <c r="R32" i="22"/>
  <c r="Q32" i="22"/>
  <c r="P32" i="22"/>
  <c r="N32" i="22"/>
  <c r="L32" i="22"/>
  <c r="K32" i="22"/>
  <c r="J32" i="22"/>
  <c r="I32" i="22"/>
  <c r="F32" i="22"/>
  <c r="E32" i="22"/>
  <c r="D32" i="22"/>
  <c r="AP31" i="22"/>
  <c r="AK31" i="22"/>
  <c r="AN31" i="22" s="1"/>
  <c r="AC31" i="22"/>
  <c r="AA31" i="22"/>
  <c r="AB31" i="22" s="1"/>
  <c r="Z31" i="22"/>
  <c r="W31" i="22"/>
  <c r="V31" i="22"/>
  <c r="U31" i="22"/>
  <c r="T31" i="22"/>
  <c r="S31" i="22"/>
  <c r="R31" i="22"/>
  <c r="Q31" i="22"/>
  <c r="P31" i="22"/>
  <c r="N31" i="22"/>
  <c r="L31" i="22"/>
  <c r="K31" i="22"/>
  <c r="J31" i="22"/>
  <c r="I31" i="22"/>
  <c r="F31" i="22"/>
  <c r="E31" i="22"/>
  <c r="D31" i="22"/>
  <c r="AP30" i="22"/>
  <c r="AK30" i="22"/>
  <c r="O30" i="22" s="1"/>
  <c r="AC30" i="22"/>
  <c r="AA30" i="22"/>
  <c r="AB30" i="22" s="1"/>
  <c r="Z30" i="22"/>
  <c r="Y30" i="22"/>
  <c r="V30" i="22"/>
  <c r="U30" i="22"/>
  <c r="T30" i="22"/>
  <c r="S30" i="22"/>
  <c r="R30" i="22"/>
  <c r="Q30" i="22"/>
  <c r="P30" i="22"/>
  <c r="N30" i="22"/>
  <c r="L30" i="22"/>
  <c r="K30" i="22"/>
  <c r="J30" i="22"/>
  <c r="I30" i="22"/>
  <c r="F30" i="22"/>
  <c r="E30" i="22"/>
  <c r="D30" i="22"/>
  <c r="AP29" i="22"/>
  <c r="AK29" i="22"/>
  <c r="AL29" i="22" s="1"/>
  <c r="AC29" i="22"/>
  <c r="AA29" i="22"/>
  <c r="AB29" i="22" s="1"/>
  <c r="Z29" i="22"/>
  <c r="Y29" i="22"/>
  <c r="V29" i="22"/>
  <c r="U29" i="22"/>
  <c r="T29" i="22"/>
  <c r="S29" i="22"/>
  <c r="R29" i="22"/>
  <c r="Q29" i="22"/>
  <c r="P29" i="22"/>
  <c r="N29" i="22"/>
  <c r="L29" i="22"/>
  <c r="K29" i="22"/>
  <c r="J29" i="22"/>
  <c r="I29" i="22"/>
  <c r="F29" i="22"/>
  <c r="E29" i="22"/>
  <c r="D29" i="22"/>
  <c r="X27" i="22"/>
  <c r="H27" i="22"/>
  <c r="G27" i="22"/>
  <c r="AP26" i="22"/>
  <c r="AN26" i="22"/>
  <c r="AM26" i="22"/>
  <c r="AC26" i="22"/>
  <c r="AA26" i="22"/>
  <c r="AB26" i="22" s="1"/>
  <c r="Z26" i="22"/>
  <c r="Y26" i="22"/>
  <c r="W26" i="22"/>
  <c r="V26" i="22"/>
  <c r="U26" i="22"/>
  <c r="T26" i="22"/>
  <c r="S26" i="22"/>
  <c r="R26" i="22"/>
  <c r="Q26" i="22"/>
  <c r="P26" i="22"/>
  <c r="L26" i="22"/>
  <c r="K26" i="22"/>
  <c r="J26" i="22"/>
  <c r="I26" i="22"/>
  <c r="F26" i="22"/>
  <c r="AP25" i="22"/>
  <c r="AK25" i="22"/>
  <c r="O25" i="22" s="1"/>
  <c r="AC25" i="22"/>
  <c r="AA25" i="22"/>
  <c r="AB25" i="22" s="1"/>
  <c r="Z25" i="22"/>
  <c r="V25" i="22"/>
  <c r="U25" i="22"/>
  <c r="T25" i="22"/>
  <c r="S25" i="22"/>
  <c r="R25" i="22"/>
  <c r="Q25" i="22"/>
  <c r="P25" i="22"/>
  <c r="N25" i="22"/>
  <c r="L25" i="22"/>
  <c r="K25" i="22"/>
  <c r="J25" i="22"/>
  <c r="I25" i="22"/>
  <c r="F25" i="22"/>
  <c r="E25" i="22"/>
  <c r="D25" i="22"/>
  <c r="AP24" i="22"/>
  <c r="AK24" i="22"/>
  <c r="O24" i="22" s="1"/>
  <c r="AC24" i="22"/>
  <c r="AA24" i="22"/>
  <c r="AB24" i="22" s="1"/>
  <c r="Z24" i="22"/>
  <c r="V24" i="22"/>
  <c r="U24" i="22"/>
  <c r="T24" i="22"/>
  <c r="S24" i="22"/>
  <c r="R24" i="22"/>
  <c r="Q24" i="22"/>
  <c r="P24" i="22"/>
  <c r="N24" i="22"/>
  <c r="L24" i="22"/>
  <c r="K24" i="22"/>
  <c r="J24" i="22"/>
  <c r="I24" i="22"/>
  <c r="F24" i="22"/>
  <c r="E24" i="22"/>
  <c r="D24" i="22"/>
  <c r="AP23" i="22"/>
  <c r="AK23" i="22"/>
  <c r="AL23" i="22" s="1"/>
  <c r="W23" i="22" s="1"/>
  <c r="AC23" i="22"/>
  <c r="AA23" i="22"/>
  <c r="AB23" i="22" s="1"/>
  <c r="Z23" i="22"/>
  <c r="Y23" i="22"/>
  <c r="V23" i="22"/>
  <c r="R23" i="22"/>
  <c r="Q23" i="22"/>
  <c r="P23" i="22"/>
  <c r="N23" i="22"/>
  <c r="L23" i="22"/>
  <c r="K23" i="22"/>
  <c r="J23" i="22"/>
  <c r="I23" i="22"/>
  <c r="F23" i="22"/>
  <c r="E23" i="22"/>
  <c r="D23" i="22"/>
  <c r="AP22" i="22"/>
  <c r="AK22" i="22"/>
  <c r="O22" i="22" s="1"/>
  <c r="AC22" i="22"/>
  <c r="AA22" i="22"/>
  <c r="AB22" i="22" s="1"/>
  <c r="Z22" i="22"/>
  <c r="Y22" i="22"/>
  <c r="V22" i="22"/>
  <c r="U22" i="22"/>
  <c r="T22" i="22"/>
  <c r="S22" i="22"/>
  <c r="R22" i="22"/>
  <c r="Q22" i="22"/>
  <c r="P22" i="22"/>
  <c r="N22" i="22"/>
  <c r="L22" i="22"/>
  <c r="K22" i="22"/>
  <c r="J22" i="22"/>
  <c r="I22" i="22"/>
  <c r="F22" i="22"/>
  <c r="E22" i="22"/>
  <c r="D22" i="22"/>
  <c r="AP21" i="22"/>
  <c r="AK21" i="22"/>
  <c r="O21" i="22" s="1"/>
  <c r="AC21" i="22"/>
  <c r="AA21" i="22"/>
  <c r="AB21" i="22" s="1"/>
  <c r="Z21" i="22"/>
  <c r="Y21" i="22"/>
  <c r="V21" i="22"/>
  <c r="U21" i="22"/>
  <c r="T21" i="22"/>
  <c r="S21" i="22"/>
  <c r="R21" i="22"/>
  <c r="Q21" i="22"/>
  <c r="P21" i="22"/>
  <c r="N21" i="22"/>
  <c r="L21" i="22"/>
  <c r="K21" i="22"/>
  <c r="J21" i="22"/>
  <c r="I21" i="22"/>
  <c r="F21" i="22"/>
  <c r="E21" i="22"/>
  <c r="D21" i="22"/>
  <c r="AP20" i="22"/>
  <c r="AK20" i="22"/>
  <c r="AL20" i="22" s="1"/>
  <c r="W20" i="22" s="1"/>
  <c r="AC20" i="22"/>
  <c r="AA20" i="22"/>
  <c r="Z20" i="22"/>
  <c r="Y20" i="22"/>
  <c r="V20" i="22"/>
  <c r="U20" i="22"/>
  <c r="T20" i="22"/>
  <c r="S20" i="22"/>
  <c r="R20" i="22"/>
  <c r="Q20" i="22"/>
  <c r="P20" i="22"/>
  <c r="N20" i="22"/>
  <c r="L20" i="22"/>
  <c r="K20" i="22"/>
  <c r="J20" i="22"/>
  <c r="I20" i="22"/>
  <c r="F20" i="22"/>
  <c r="E20" i="22"/>
  <c r="D20" i="22"/>
  <c r="AP19" i="22"/>
  <c r="AK19" i="22"/>
  <c r="M19" i="22" s="1"/>
  <c r="AC19" i="22"/>
  <c r="AA19" i="22"/>
  <c r="AB19" i="22" s="1"/>
  <c r="Z19" i="22"/>
  <c r="Y19" i="22"/>
  <c r="V19" i="22"/>
  <c r="U19" i="22"/>
  <c r="T19" i="22"/>
  <c r="S19" i="22"/>
  <c r="R19" i="22"/>
  <c r="Q19" i="22"/>
  <c r="P19" i="22"/>
  <c r="N19" i="22"/>
  <c r="L19" i="22"/>
  <c r="K19" i="22"/>
  <c r="J19" i="22"/>
  <c r="I19" i="22"/>
  <c r="F19" i="22"/>
  <c r="E19" i="22"/>
  <c r="D19" i="22"/>
  <c r="X17" i="22"/>
  <c r="H17" i="22"/>
  <c r="G17" i="22"/>
  <c r="B17" i="22"/>
  <c r="AP16" i="22"/>
  <c r="AK16" i="22"/>
  <c r="AC16" i="22"/>
  <c r="AA16" i="22"/>
  <c r="AB16" i="22" s="1"/>
  <c r="Z16" i="22"/>
  <c r="V16" i="22"/>
  <c r="U16" i="22"/>
  <c r="T16" i="22"/>
  <c r="S16" i="22"/>
  <c r="R16" i="22"/>
  <c r="Q16" i="22"/>
  <c r="P16" i="22"/>
  <c r="N16" i="22"/>
  <c r="L16" i="22"/>
  <c r="K16" i="22"/>
  <c r="J16" i="22"/>
  <c r="I16" i="22"/>
  <c r="F16" i="22"/>
  <c r="E16" i="22"/>
  <c r="D16" i="22"/>
  <c r="AP15" i="22"/>
  <c r="AK15" i="22"/>
  <c r="O15" i="22" s="1"/>
  <c r="AC15" i="22"/>
  <c r="AA15" i="22"/>
  <c r="AB15" i="22" s="1"/>
  <c r="Z15" i="22"/>
  <c r="V15" i="22"/>
  <c r="U15" i="22"/>
  <c r="T15" i="22"/>
  <c r="S15" i="22"/>
  <c r="R15" i="22"/>
  <c r="Q15" i="22"/>
  <c r="P15" i="22"/>
  <c r="N15" i="22"/>
  <c r="L15" i="22"/>
  <c r="K15" i="22"/>
  <c r="J15" i="22"/>
  <c r="I15" i="22"/>
  <c r="F15" i="22"/>
  <c r="E15" i="22"/>
  <c r="D15" i="22"/>
  <c r="AP14" i="22"/>
  <c r="AK14" i="22"/>
  <c r="AL14" i="22" s="1"/>
  <c r="W14" i="22" s="1"/>
  <c r="AC14" i="22"/>
  <c r="AA14" i="22"/>
  <c r="AB14" i="22" s="1"/>
  <c r="Z14" i="22"/>
  <c r="Y14" i="22"/>
  <c r="V14" i="22"/>
  <c r="U14" i="22"/>
  <c r="T14" i="22"/>
  <c r="S14" i="22"/>
  <c r="R14" i="22"/>
  <c r="Q14" i="22"/>
  <c r="P14" i="22"/>
  <c r="N14" i="22"/>
  <c r="L14" i="22"/>
  <c r="K14" i="22"/>
  <c r="J14" i="22"/>
  <c r="I14" i="22"/>
  <c r="F14" i="22"/>
  <c r="E14" i="22"/>
  <c r="D14" i="22"/>
  <c r="AP13" i="22"/>
  <c r="AK13" i="22"/>
  <c r="AC13" i="22"/>
  <c r="AA13" i="22"/>
  <c r="AB13" i="22" s="1"/>
  <c r="Z13" i="22"/>
  <c r="Y13" i="22"/>
  <c r="V13" i="22"/>
  <c r="U13" i="22"/>
  <c r="T13" i="22"/>
  <c r="S13" i="22"/>
  <c r="R13" i="22"/>
  <c r="Q13" i="22"/>
  <c r="P13" i="22"/>
  <c r="N13" i="22"/>
  <c r="L13" i="22"/>
  <c r="K13" i="22"/>
  <c r="J13" i="22"/>
  <c r="I13" i="22"/>
  <c r="F13" i="22"/>
  <c r="E13" i="22"/>
  <c r="D13" i="22"/>
  <c r="AP12" i="22"/>
  <c r="AK12" i="22"/>
  <c r="O12" i="22" s="1"/>
  <c r="AC12" i="22"/>
  <c r="AA12" i="22"/>
  <c r="AB12" i="22" s="1"/>
  <c r="Z12" i="22"/>
  <c r="Y12" i="22"/>
  <c r="V12" i="22"/>
  <c r="U12" i="22"/>
  <c r="T12" i="22"/>
  <c r="S12" i="22"/>
  <c r="R12" i="22"/>
  <c r="Q12" i="22"/>
  <c r="P12" i="22"/>
  <c r="N12" i="22"/>
  <c r="L12" i="22"/>
  <c r="K12" i="22"/>
  <c r="J12" i="22"/>
  <c r="I12" i="22"/>
  <c r="F12" i="22"/>
  <c r="E12" i="22"/>
  <c r="D12" i="22"/>
  <c r="AP11" i="22"/>
  <c r="AK11" i="22"/>
  <c r="M11" i="22" s="1"/>
  <c r="AC11" i="22"/>
  <c r="AA11" i="22"/>
  <c r="AB11" i="22" s="1"/>
  <c r="Z11" i="22"/>
  <c r="Y11" i="22"/>
  <c r="V11" i="22"/>
  <c r="U11" i="22"/>
  <c r="T11" i="22"/>
  <c r="S11" i="22"/>
  <c r="R11" i="22"/>
  <c r="Q11" i="22"/>
  <c r="P11" i="22"/>
  <c r="N11" i="22"/>
  <c r="L11" i="22"/>
  <c r="K11" i="22"/>
  <c r="J11" i="22"/>
  <c r="I11" i="22"/>
  <c r="F11" i="22"/>
  <c r="E11" i="22"/>
  <c r="D11" i="22"/>
  <c r="AP10" i="22"/>
  <c r="AK10" i="22"/>
  <c r="AC10" i="22"/>
  <c r="AA10" i="22"/>
  <c r="Z10" i="22"/>
  <c r="Y10" i="22"/>
  <c r="V10" i="22"/>
  <c r="U10" i="22"/>
  <c r="T10" i="22"/>
  <c r="S10" i="22"/>
  <c r="R10" i="22"/>
  <c r="Q10" i="22"/>
  <c r="P10" i="22"/>
  <c r="N10" i="22"/>
  <c r="L10" i="22"/>
  <c r="K10" i="22"/>
  <c r="J10" i="22"/>
  <c r="I10" i="22"/>
  <c r="F10" i="22"/>
  <c r="E10" i="22"/>
  <c r="D10" i="22"/>
  <c r="O36" i="22" l="1"/>
  <c r="Y38" i="22"/>
  <c r="Y25" i="23"/>
  <c r="F58" i="22"/>
  <c r="G58" i="22"/>
  <c r="J65" i="22"/>
  <c r="H58" i="22"/>
  <c r="AD28" i="23"/>
  <c r="M24" i="22"/>
  <c r="S58" i="22"/>
  <c r="O13" i="23"/>
  <c r="O21" i="23"/>
  <c r="O27" i="23"/>
  <c r="Y36" i="22"/>
  <c r="P19" i="23"/>
  <c r="AD18" i="23"/>
  <c r="W21" i="23"/>
  <c r="AD41" i="22"/>
  <c r="F44" i="22"/>
  <c r="O44" i="22"/>
  <c r="O11" i="23"/>
  <c r="O41" i="22"/>
  <c r="Y11" i="23"/>
  <c r="W29" i="22"/>
  <c r="O14" i="22"/>
  <c r="O31" i="22"/>
  <c r="W36" i="22"/>
  <c r="AD36" i="22"/>
  <c r="O64" i="22"/>
  <c r="AK68" i="22"/>
  <c r="M60" i="22"/>
  <c r="AM54" i="22"/>
  <c r="K54" i="22" s="1"/>
  <c r="M61" i="22"/>
  <c r="AN54" i="22"/>
  <c r="AD16" i="23"/>
  <c r="AD26" i="23"/>
  <c r="AN11" i="23"/>
  <c r="AD11" i="23" s="1"/>
  <c r="AD21" i="23"/>
  <c r="O23" i="23"/>
  <c r="AL24" i="23"/>
  <c r="W25" i="23"/>
  <c r="AD25" i="23"/>
  <c r="W27" i="23"/>
  <c r="AL23" i="23"/>
  <c r="AL25" i="23"/>
  <c r="I19" i="23"/>
  <c r="Q19" i="23"/>
  <c r="D19" i="23"/>
  <c r="AD14" i="23"/>
  <c r="Y15" i="23"/>
  <c r="E19" i="23"/>
  <c r="Y23" i="23"/>
  <c r="AN23" i="23"/>
  <c r="AD23" i="23" s="1"/>
  <c r="V19" i="23"/>
  <c r="AL28" i="23"/>
  <c r="AC19" i="23"/>
  <c r="AD17" i="23"/>
  <c r="AA29" i="23"/>
  <c r="Y24" i="23"/>
  <c r="AD24" i="23"/>
  <c r="F45" i="22"/>
  <c r="Y43" i="22"/>
  <c r="O23" i="22"/>
  <c r="F29" i="23"/>
  <c r="AL26" i="23"/>
  <c r="AD27" i="23"/>
  <c r="Y26" i="23"/>
  <c r="E29" i="23"/>
  <c r="N29" i="23"/>
  <c r="T29" i="23"/>
  <c r="Y27" i="23"/>
  <c r="Y28" i="23"/>
  <c r="Y21" i="23"/>
  <c r="AL21" i="23"/>
  <c r="Y22" i="23"/>
  <c r="AD22" i="23"/>
  <c r="AL22" i="23"/>
  <c r="J29" i="23"/>
  <c r="D29" i="23"/>
  <c r="L29" i="23"/>
  <c r="S29" i="23"/>
  <c r="Z29" i="23"/>
  <c r="Q29" i="23"/>
  <c r="R29" i="23"/>
  <c r="U29" i="23"/>
  <c r="AB21" i="23"/>
  <c r="AB29" i="23" s="1"/>
  <c r="K29" i="23"/>
  <c r="I29" i="23"/>
  <c r="P29" i="23"/>
  <c r="V29" i="23"/>
  <c r="AC29" i="23"/>
  <c r="Z19" i="23"/>
  <c r="K19" i="23"/>
  <c r="AA19" i="23"/>
  <c r="AN13" i="23"/>
  <c r="AD13" i="23" s="1"/>
  <c r="L19" i="23"/>
  <c r="AB10" i="23"/>
  <c r="AB19" i="23" s="1"/>
  <c r="N19" i="23"/>
  <c r="U19" i="23"/>
  <c r="O15" i="23"/>
  <c r="Y17" i="23"/>
  <c r="AL17" i="23"/>
  <c r="J19" i="23"/>
  <c r="S19" i="23"/>
  <c r="Y13" i="23"/>
  <c r="T19" i="23"/>
  <c r="F19" i="23"/>
  <c r="R19" i="23"/>
  <c r="O20" i="22"/>
  <c r="AN20" i="22"/>
  <c r="AD20" i="22" s="1"/>
  <c r="AC58" i="22"/>
  <c r="M57" i="22"/>
  <c r="AC65" i="22"/>
  <c r="Y44" i="22"/>
  <c r="P58" i="22"/>
  <c r="V58" i="22"/>
  <c r="F65" i="22"/>
  <c r="Q65" i="22"/>
  <c r="W65" i="22"/>
  <c r="AM60" i="22"/>
  <c r="K60" i="22" s="1"/>
  <c r="AN14" i="22"/>
  <c r="AD14" i="22" s="1"/>
  <c r="AD50" i="22"/>
  <c r="O54" i="22"/>
  <c r="AM57" i="22"/>
  <c r="K57" i="22" s="1"/>
  <c r="R65" i="22"/>
  <c r="Y65" i="22"/>
  <c r="AK69" i="22"/>
  <c r="AD35" i="22"/>
  <c r="M41" i="22"/>
  <c r="H65" i="22"/>
  <c r="S65" i="22"/>
  <c r="Z65" i="22"/>
  <c r="M63" i="22"/>
  <c r="F47" i="22"/>
  <c r="F49" i="22"/>
  <c r="Y47" i="22"/>
  <c r="Y49" i="22"/>
  <c r="S51" i="22"/>
  <c r="E51" i="22"/>
  <c r="J51" i="22"/>
  <c r="L51" i="22"/>
  <c r="Z51" i="22"/>
  <c r="AN29" i="22"/>
  <c r="AD29" i="22" s="1"/>
  <c r="S39" i="22"/>
  <c r="AL30" i="22"/>
  <c r="E39" i="22"/>
  <c r="W30" i="22"/>
  <c r="O29" i="22"/>
  <c r="M30" i="22"/>
  <c r="AC39" i="22"/>
  <c r="P39" i="22"/>
  <c r="V39" i="22"/>
  <c r="K39" i="22"/>
  <c r="M14" i="22"/>
  <c r="F27" i="22"/>
  <c r="Q27" i="22"/>
  <c r="I27" i="22"/>
  <c r="Y48" i="22"/>
  <c r="AL11" i="22"/>
  <c r="W11" i="22" s="1"/>
  <c r="J39" i="22"/>
  <c r="Q39" i="22"/>
  <c r="Y33" i="22"/>
  <c r="Y35" i="22"/>
  <c r="W38" i="22"/>
  <c r="AD38" i="22"/>
  <c r="N51" i="22"/>
  <c r="T51" i="22"/>
  <c r="D51" i="22"/>
  <c r="Q51" i="22"/>
  <c r="AD44" i="22"/>
  <c r="Y45" i="22"/>
  <c r="Y50" i="22"/>
  <c r="Q58" i="22"/>
  <c r="W58" i="22"/>
  <c r="AN55" i="22"/>
  <c r="AD55" i="22" s="1"/>
  <c r="AN57" i="22"/>
  <c r="AD57" i="22" s="1"/>
  <c r="G65" i="22"/>
  <c r="O61" i="22"/>
  <c r="AD64" i="22"/>
  <c r="AP66" i="22"/>
  <c r="AN11" i="22"/>
  <c r="AD11" i="22" s="1"/>
  <c r="R27" i="22"/>
  <c r="AC51" i="22"/>
  <c r="U51" i="22"/>
  <c r="K51" i="22"/>
  <c r="M50" i="22"/>
  <c r="R58" i="22"/>
  <c r="Y58" i="22"/>
  <c r="O11" i="22"/>
  <c r="L27" i="22"/>
  <c r="AA27" i="22"/>
  <c r="M21" i="22"/>
  <c r="AL24" i="22"/>
  <c r="Y24" i="22" s="1"/>
  <c r="D39" i="22"/>
  <c r="L39" i="22"/>
  <c r="Y31" i="22"/>
  <c r="M35" i="22"/>
  <c r="P51" i="22"/>
  <c r="V51" i="22"/>
  <c r="F46" i="22"/>
  <c r="O46" i="22"/>
  <c r="F48" i="22"/>
  <c r="O48" i="22"/>
  <c r="T65" i="22"/>
  <c r="AA65" i="22"/>
  <c r="AM63" i="22"/>
  <c r="K63" i="22" s="1"/>
  <c r="AM64" i="22"/>
  <c r="Y46" i="22"/>
  <c r="N17" i="22"/>
  <c r="T27" i="22"/>
  <c r="AB39" i="22"/>
  <c r="Z39" i="22"/>
  <c r="O33" i="22"/>
  <c r="W41" i="22"/>
  <c r="AL41" i="22"/>
  <c r="I51" i="22"/>
  <c r="O50" i="22"/>
  <c r="T58" i="22"/>
  <c r="AD54" i="22"/>
  <c r="U65" i="22"/>
  <c r="AN61" i="22"/>
  <c r="AD61" i="22" s="1"/>
  <c r="O62" i="22"/>
  <c r="M64" i="22"/>
  <c r="O19" i="22"/>
  <c r="AL21" i="22"/>
  <c r="W21" i="22" s="1"/>
  <c r="AN23" i="22"/>
  <c r="AD23" i="22" s="1"/>
  <c r="U39" i="22"/>
  <c r="O35" i="22"/>
  <c r="O38" i="22"/>
  <c r="R51" i="22"/>
  <c r="AD46" i="22"/>
  <c r="W48" i="22"/>
  <c r="AD48" i="22"/>
  <c r="J58" i="22"/>
  <c r="U58" i="22"/>
  <c r="P65" i="22"/>
  <c r="V65" i="22"/>
  <c r="S17" i="22"/>
  <c r="K17" i="22"/>
  <c r="F17" i="22"/>
  <c r="P17" i="22"/>
  <c r="Q17" i="22"/>
  <c r="Z17" i="22"/>
  <c r="T17" i="22"/>
  <c r="D17" i="22"/>
  <c r="L17" i="22"/>
  <c r="AC17" i="22"/>
  <c r="E17" i="22"/>
  <c r="J17" i="22"/>
  <c r="V17" i="22"/>
  <c r="Y12" i="23"/>
  <c r="AL10" i="23"/>
  <c r="AL12" i="23"/>
  <c r="AL14" i="23"/>
  <c r="AL16" i="23"/>
  <c r="AL18" i="23"/>
  <c r="O22" i="23"/>
  <c r="O24" i="23"/>
  <c r="O26" i="23"/>
  <c r="O28" i="23"/>
  <c r="Y16" i="23"/>
  <c r="Y18" i="23"/>
  <c r="AN10" i="23"/>
  <c r="AD10" i="23" s="1"/>
  <c r="W11" i="23"/>
  <c r="AN12" i="23"/>
  <c r="AD12" i="23" s="1"/>
  <c r="W13" i="23"/>
  <c r="W15" i="23"/>
  <c r="AD15" i="23"/>
  <c r="W17" i="23"/>
  <c r="Y14" i="23"/>
  <c r="O10" i="23"/>
  <c r="O12" i="23"/>
  <c r="O14" i="23"/>
  <c r="O16" i="23"/>
  <c r="O18" i="23"/>
  <c r="W22" i="23"/>
  <c r="W24" i="23"/>
  <c r="W26" i="23"/>
  <c r="W28" i="23"/>
  <c r="W10" i="23"/>
  <c r="W12" i="23"/>
  <c r="W14" i="23"/>
  <c r="W16" i="23"/>
  <c r="W18" i="23"/>
  <c r="AA17" i="22"/>
  <c r="AB10" i="22"/>
  <c r="AB17" i="22" s="1"/>
  <c r="U27" i="22"/>
  <c r="AL19" i="22"/>
  <c r="W19" i="22" s="1"/>
  <c r="AN22" i="22"/>
  <c r="AD22" i="22" s="1"/>
  <c r="AL22" i="22"/>
  <c r="W22" i="22" s="1"/>
  <c r="M22" i="22"/>
  <c r="AK26" i="22"/>
  <c r="N26" i="22"/>
  <c r="N27" i="22" s="1"/>
  <c r="T39" i="22"/>
  <c r="I17" i="22"/>
  <c r="AL10" i="22"/>
  <c r="W10" i="22" s="1"/>
  <c r="M10" i="22"/>
  <c r="O10" i="22"/>
  <c r="AL13" i="22"/>
  <c r="W13" i="22" s="1"/>
  <c r="M13" i="22"/>
  <c r="O13" i="22"/>
  <c r="AL16" i="22"/>
  <c r="M16" i="22"/>
  <c r="O16" i="22"/>
  <c r="D27" i="22"/>
  <c r="Z27" i="22"/>
  <c r="K27" i="22"/>
  <c r="P27" i="22"/>
  <c r="V27" i="22"/>
  <c r="F39" i="22"/>
  <c r="AB51" i="22"/>
  <c r="R17" i="22"/>
  <c r="AN10" i="22"/>
  <c r="AD10" i="22" s="1"/>
  <c r="AN12" i="22"/>
  <c r="AD12" i="22" s="1"/>
  <c r="M12" i="22"/>
  <c r="AL12" i="22"/>
  <c r="W12" i="22" s="1"/>
  <c r="AN13" i="22"/>
  <c r="AD13" i="22" s="1"/>
  <c r="AN15" i="22"/>
  <c r="AD15" i="22" s="1"/>
  <c r="AL15" i="22"/>
  <c r="M15" i="22"/>
  <c r="AN16" i="22"/>
  <c r="AD16" i="22" s="1"/>
  <c r="E27" i="22"/>
  <c r="S27" i="22"/>
  <c r="J27" i="22"/>
  <c r="I39" i="22"/>
  <c r="AD34" i="22"/>
  <c r="O34" i="22"/>
  <c r="M34" i="22"/>
  <c r="O32" i="22"/>
  <c r="AN32" i="22"/>
  <c r="AD32" i="22" s="1"/>
  <c r="M32" i="22"/>
  <c r="N61" i="22"/>
  <c r="K61" i="22"/>
  <c r="AC27" i="22"/>
  <c r="AB20" i="22"/>
  <c r="AB27" i="22" s="1"/>
  <c r="R39" i="22"/>
  <c r="Y32" i="22"/>
  <c r="AN25" i="22"/>
  <c r="AD25" i="22" s="1"/>
  <c r="AL25" i="22"/>
  <c r="M25" i="22"/>
  <c r="U17" i="22"/>
  <c r="AN19" i="22"/>
  <c r="AD19" i="22" s="1"/>
  <c r="AB58" i="22"/>
  <c r="N39" i="22"/>
  <c r="K55" i="22"/>
  <c r="N55" i="22"/>
  <c r="AN21" i="22"/>
  <c r="AD21" i="22" s="1"/>
  <c r="AN24" i="22"/>
  <c r="AD24" i="22" s="1"/>
  <c r="AN30" i="22"/>
  <c r="AD30" i="22" s="1"/>
  <c r="O37" i="22"/>
  <c r="M42" i="22"/>
  <c r="AL42" i="22"/>
  <c r="O43" i="22"/>
  <c r="O45" i="22"/>
  <c r="O47" i="22"/>
  <c r="O49" i="22"/>
  <c r="M53" i="22"/>
  <c r="AM53" i="22"/>
  <c r="O55" i="22"/>
  <c r="M56" i="22"/>
  <c r="AM56" i="22"/>
  <c r="N60" i="22"/>
  <c r="AN60" i="22"/>
  <c r="AD60" i="22" s="1"/>
  <c r="AN63" i="22"/>
  <c r="AD63" i="22" s="1"/>
  <c r="M20" i="22"/>
  <c r="M23" i="22"/>
  <c r="M29" i="22"/>
  <c r="AD31" i="22"/>
  <c r="W35" i="22"/>
  <c r="AN42" i="22"/>
  <c r="AD42" i="22" s="1"/>
  <c r="M44" i="22"/>
  <c r="AN53" i="22"/>
  <c r="AD53" i="22" s="1"/>
  <c r="AN56" i="22"/>
  <c r="AD56" i="22" s="1"/>
  <c r="AB60" i="22"/>
  <c r="AB65" i="22" s="1"/>
  <c r="AD62" i="22"/>
  <c r="W37" i="22"/>
  <c r="AD37" i="22"/>
  <c r="O42" i="22"/>
  <c r="AD43" i="22"/>
  <c r="AD45" i="22"/>
  <c r="W47" i="22"/>
  <c r="AD47" i="22"/>
  <c r="W49" i="22"/>
  <c r="AD49" i="22"/>
  <c r="O53" i="22"/>
  <c r="O56" i="22"/>
  <c r="AA58" i="22"/>
  <c r="AK70" i="22"/>
  <c r="AN33" i="22"/>
  <c r="AD33" i="22" s="1"/>
  <c r="AA39" i="22"/>
  <c r="AA51" i="22"/>
  <c r="M62" i="22"/>
  <c r="AM62" i="22"/>
  <c r="M31" i="22"/>
  <c r="Y37" i="22"/>
  <c r="W42" i="22"/>
  <c r="M43" i="22"/>
  <c r="M45" i="22"/>
  <c r="M55" i="22"/>
  <c r="AD29" i="23" l="1"/>
  <c r="M65" i="22"/>
  <c r="N54" i="22"/>
  <c r="O65" i="22"/>
  <c r="M58" i="22"/>
  <c r="N57" i="22"/>
  <c r="Y19" i="23"/>
  <c r="Y29" i="23"/>
  <c r="O29" i="23"/>
  <c r="W29" i="23"/>
  <c r="AD19" i="23"/>
  <c r="N63" i="22"/>
  <c r="F51" i="22"/>
  <c r="AD51" i="22"/>
  <c r="Y51" i="22"/>
  <c r="Y39" i="22"/>
  <c r="M51" i="22"/>
  <c r="W51" i="22"/>
  <c r="O58" i="22"/>
  <c r="M39" i="22"/>
  <c r="W24" i="22"/>
  <c r="W39" i="22"/>
  <c r="N64" i="22"/>
  <c r="K64" i="22"/>
  <c r="O39" i="22"/>
  <c r="AD65" i="22"/>
  <c r="O51" i="22"/>
  <c r="O19" i="23"/>
  <c r="W19" i="23"/>
  <c r="AD58" i="22"/>
  <c r="AD39" i="22"/>
  <c r="W25" i="22"/>
  <c r="Y25" i="22"/>
  <c r="Y27" i="22" s="1"/>
  <c r="N62" i="22"/>
  <c r="K62" i="22"/>
  <c r="K65" i="22" s="1"/>
  <c r="AD17" i="22"/>
  <c r="M17" i="22"/>
  <c r="N53" i="22"/>
  <c r="K53" i="22"/>
  <c r="W15" i="22"/>
  <c r="Y15" i="22"/>
  <c r="N56" i="22"/>
  <c r="K56" i="22"/>
  <c r="O17" i="22"/>
  <c r="AD26" i="22"/>
  <c r="AD27" i="22" s="1"/>
  <c r="O26" i="22"/>
  <c r="O27" i="22" s="1"/>
  <c r="M26" i="22"/>
  <c r="M27" i="22" s="1"/>
  <c r="Y16" i="22"/>
  <c r="W16" i="22"/>
  <c r="N65" i="22" l="1"/>
  <c r="W27" i="22"/>
  <c r="W17" i="22"/>
  <c r="N58" i="22"/>
  <c r="Y17" i="22"/>
  <c r="K58" i="22"/>
</calcChain>
</file>

<file path=xl/sharedStrings.xml><?xml version="1.0" encoding="utf-8"?>
<sst xmlns="http://schemas.openxmlformats.org/spreadsheetml/2006/main" count="1234" uniqueCount="443">
  <si>
    <r>
      <t>排</t>
    </r>
    <r>
      <rPr>
        <b/>
        <sz val="16"/>
        <rFont val="Century Schoolbook"/>
        <family val="1"/>
      </rPr>
      <t xml:space="preserve">  </t>
    </r>
    <r>
      <rPr>
        <b/>
        <sz val="16"/>
        <rFont val="宋体"/>
        <family val="3"/>
        <charset val="134"/>
      </rPr>
      <t>水</t>
    </r>
    <r>
      <rPr>
        <b/>
        <sz val="16"/>
        <rFont val="Century Schoolbook"/>
        <family val="1"/>
      </rPr>
      <t xml:space="preserve">  </t>
    </r>
    <r>
      <rPr>
        <b/>
        <sz val="16"/>
        <rFont val="宋体"/>
        <family val="3"/>
        <charset val="134"/>
      </rPr>
      <t>工</t>
    </r>
    <r>
      <rPr>
        <b/>
        <sz val="16"/>
        <rFont val="Century Schoolbook"/>
        <family val="1"/>
      </rPr>
      <t xml:space="preserve">  </t>
    </r>
    <r>
      <rPr>
        <b/>
        <sz val="16"/>
        <rFont val="宋体"/>
        <family val="3"/>
        <charset val="134"/>
      </rPr>
      <t>程</t>
    </r>
    <r>
      <rPr>
        <b/>
        <sz val="16"/>
        <rFont val="Century Schoolbook"/>
        <family val="1"/>
      </rPr>
      <t xml:space="preserve">  </t>
    </r>
    <r>
      <rPr>
        <b/>
        <sz val="16"/>
        <rFont val="宋体"/>
        <family val="3"/>
        <charset val="134"/>
      </rPr>
      <t>数</t>
    </r>
    <r>
      <rPr>
        <b/>
        <sz val="16"/>
        <rFont val="Century Schoolbook"/>
        <family val="1"/>
      </rPr>
      <t xml:space="preserve">  </t>
    </r>
    <r>
      <rPr>
        <b/>
        <sz val="16"/>
        <rFont val="宋体"/>
        <family val="3"/>
        <charset val="134"/>
      </rPr>
      <t>量</t>
    </r>
    <r>
      <rPr>
        <b/>
        <sz val="16"/>
        <rFont val="Century Schoolbook"/>
        <family val="1"/>
      </rPr>
      <t xml:space="preserve">  </t>
    </r>
    <r>
      <rPr>
        <b/>
        <sz val="16"/>
        <rFont val="宋体"/>
        <family val="3"/>
        <charset val="134"/>
      </rPr>
      <t>表</t>
    </r>
  </si>
  <si>
    <t>工程名称</t>
  </si>
  <si>
    <r>
      <rPr>
        <sz val="10"/>
        <rFont val="Century Schoolbook"/>
        <family val="1"/>
      </rPr>
      <t xml:space="preserve"> </t>
    </r>
    <r>
      <rPr>
        <sz val="10"/>
        <rFont val="宋体"/>
        <family val="3"/>
        <charset val="134"/>
      </rPr>
      <t>数</t>
    </r>
    <r>
      <rPr>
        <sz val="10"/>
        <rFont val="Century Schoolbook"/>
        <family val="1"/>
      </rPr>
      <t xml:space="preserve"> </t>
    </r>
    <r>
      <rPr>
        <sz val="10"/>
        <rFont val="宋体"/>
        <family val="3"/>
        <charset val="134"/>
      </rPr>
      <t>量</t>
    </r>
  </si>
  <si>
    <t>井室及井筒</t>
  </si>
  <si>
    <t>井   盖   板</t>
  </si>
  <si>
    <t>井背回填C15低标号混凝土</t>
  </si>
  <si>
    <r>
      <t>备</t>
    </r>
    <r>
      <rPr>
        <sz val="10"/>
        <rFont val="Century Schoolbook"/>
        <family val="1"/>
      </rPr>
      <t xml:space="preserve">   </t>
    </r>
    <r>
      <rPr>
        <sz val="10"/>
        <rFont val="宋体"/>
        <family val="3"/>
        <charset val="134"/>
      </rPr>
      <t>注</t>
    </r>
  </si>
  <si>
    <r>
      <t>1</t>
    </r>
    <r>
      <rPr>
        <sz val="10"/>
        <rFont val="宋体"/>
        <family val="3"/>
        <charset val="134"/>
      </rPr>
      <t>：</t>
    </r>
    <r>
      <rPr>
        <sz val="10"/>
        <rFont val="宋体"/>
        <family val="3"/>
        <charset val="134"/>
      </rPr>
      <t>2</t>
    </r>
    <r>
      <rPr>
        <sz val="10"/>
        <rFont val="宋体"/>
        <family val="3"/>
        <charset val="134"/>
      </rPr>
      <t>水泥砂浆抹面（流槽）</t>
    </r>
  </si>
  <si>
    <t>底板钢筋Φ10外</t>
  </si>
  <si>
    <r>
      <t>盖</t>
    </r>
    <r>
      <rPr>
        <sz val="10"/>
        <rFont val="Century Schoolbook"/>
        <family val="1"/>
      </rPr>
      <t xml:space="preserve"> </t>
    </r>
    <r>
      <rPr>
        <sz val="10"/>
        <rFont val="宋体"/>
        <family val="3"/>
        <charset val="134"/>
      </rPr>
      <t>板</t>
    </r>
    <r>
      <rPr>
        <sz val="10"/>
        <rFont val="Century Schoolbook"/>
        <family val="1"/>
      </rPr>
      <t xml:space="preserve"> </t>
    </r>
    <r>
      <rPr>
        <sz val="10"/>
        <rFont val="宋体"/>
        <family val="3"/>
        <charset val="134"/>
      </rPr>
      <t>钢</t>
    </r>
    <r>
      <rPr>
        <sz val="10"/>
        <rFont val="Century Schoolbook"/>
        <family val="1"/>
      </rPr>
      <t xml:space="preserve"> </t>
    </r>
    <r>
      <rPr>
        <sz val="10"/>
        <rFont val="宋体"/>
        <family val="3"/>
        <charset val="134"/>
      </rPr>
      <t>筋</t>
    </r>
  </si>
  <si>
    <t>高稀钢爬梯</t>
  </si>
  <si>
    <t>防坠网</t>
  </si>
  <si>
    <t>安全警示装置</t>
  </si>
  <si>
    <t>不锈钢螺栓</t>
  </si>
  <si>
    <r>
      <t>Φ</t>
    </r>
    <r>
      <rPr>
        <sz val="10"/>
        <rFont val="Times New Roman"/>
        <family val="1"/>
      </rPr>
      <t>10</t>
    </r>
    <r>
      <rPr>
        <sz val="10"/>
        <rFont val="宋体"/>
        <family val="3"/>
        <charset val="134"/>
      </rPr>
      <t>内</t>
    </r>
  </si>
  <si>
    <t>Φ10外</t>
  </si>
  <si>
    <t>Φ10内</t>
  </si>
  <si>
    <t>（井室）</t>
  </si>
  <si>
    <t>（井筒）</t>
  </si>
  <si>
    <t>（座）</t>
  </si>
  <si>
    <r>
      <t>（</t>
    </r>
    <r>
      <rPr>
        <sz val="10"/>
        <rFont val="Century Schoolbook"/>
        <family val="1"/>
      </rPr>
      <t>m</t>
    </r>
    <r>
      <rPr>
        <vertAlign val="superscript"/>
        <sz val="10"/>
        <rFont val="Century Schoolbook"/>
        <family val="1"/>
      </rPr>
      <t>3</t>
    </r>
    <r>
      <rPr>
        <sz val="10"/>
        <rFont val="宋体"/>
        <family val="3"/>
        <charset val="134"/>
      </rPr>
      <t>）</t>
    </r>
  </si>
  <si>
    <r>
      <t>（</t>
    </r>
    <r>
      <rPr>
        <sz val="10"/>
        <rFont val="Century Schoolbook"/>
        <family val="1"/>
      </rPr>
      <t>kg</t>
    </r>
    <r>
      <rPr>
        <sz val="10"/>
        <rFont val="宋体"/>
        <family val="3"/>
        <charset val="134"/>
      </rPr>
      <t>）</t>
    </r>
  </si>
  <si>
    <r>
      <t>（</t>
    </r>
    <r>
      <rPr>
        <sz val="10"/>
        <rFont val="宋体"/>
        <family val="3"/>
        <charset val="134"/>
      </rPr>
      <t>m</t>
    </r>
    <r>
      <rPr>
        <vertAlign val="superscript"/>
        <sz val="10"/>
        <rFont val="宋体"/>
        <family val="3"/>
        <charset val="134"/>
      </rPr>
      <t>3</t>
    </r>
    <r>
      <rPr>
        <sz val="10"/>
        <rFont val="宋体"/>
        <family val="3"/>
        <charset val="134"/>
      </rPr>
      <t>）</t>
    </r>
  </si>
  <si>
    <t>（套）</t>
  </si>
  <si>
    <t>（个）</t>
  </si>
  <si>
    <t>（张）</t>
  </si>
  <si>
    <t>（m3）</t>
  </si>
  <si>
    <t>总计</t>
  </si>
  <si>
    <t>竖槽式砖砌跌水井</t>
  </si>
  <si>
    <r>
      <t>d400-d600</t>
    </r>
    <r>
      <rPr>
        <sz val="12"/>
        <rFont val="宋体"/>
        <family val="3"/>
        <charset val="134"/>
      </rPr>
      <t>管</t>
    </r>
  </si>
  <si>
    <t>跌差1m</t>
  </si>
  <si>
    <t>(m)</t>
    <phoneticPr fontId="6" type="noConversion"/>
  </si>
  <si>
    <t>(mm)</t>
    <phoneticPr fontId="6" type="noConversion"/>
  </si>
  <si>
    <t>沟槽底宽</t>
    <phoneticPr fontId="6" type="noConversion"/>
  </si>
  <si>
    <r>
      <t>1</t>
    </r>
    <r>
      <rPr>
        <sz val="12"/>
        <rFont val="宋体"/>
        <family val="3"/>
        <charset val="134"/>
      </rPr>
      <t>80°基础面宽</t>
    </r>
    <phoneticPr fontId="6" type="noConversion"/>
  </si>
  <si>
    <t>管底面宽</t>
    <phoneticPr fontId="6" type="noConversion"/>
  </si>
  <si>
    <r>
      <t>管顶以上5</t>
    </r>
    <r>
      <rPr>
        <sz val="12"/>
        <rFont val="宋体"/>
        <family val="3"/>
        <charset val="134"/>
      </rPr>
      <t>0cm面宽</t>
    </r>
    <phoneticPr fontId="6" type="noConversion"/>
  </si>
  <si>
    <t>坡顶面宽</t>
    <phoneticPr fontId="6" type="noConversion"/>
  </si>
  <si>
    <t>管道面积</t>
    <phoneticPr fontId="6" type="noConversion"/>
  </si>
  <si>
    <r>
      <t>(m</t>
    </r>
    <r>
      <rPr>
        <vertAlign val="superscript"/>
        <sz val="12"/>
        <rFont val="宋体"/>
        <family val="3"/>
        <charset val="134"/>
      </rPr>
      <t>2</t>
    </r>
    <r>
      <rPr>
        <sz val="12"/>
        <rFont val="宋体"/>
        <family val="3"/>
        <charset val="134"/>
      </rPr>
      <t>)</t>
    </r>
    <phoneticPr fontId="6" type="noConversion"/>
  </si>
  <si>
    <t>砼全包面积</t>
    <phoneticPr fontId="6" type="noConversion"/>
  </si>
  <si>
    <r>
      <t>d1000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</t>
    </r>
    <r>
      <rPr>
        <sz val="12"/>
        <rFont val="宋体"/>
        <family val="3"/>
        <charset val="134"/>
      </rPr>
      <t>Φ</t>
    </r>
    <r>
      <rPr>
        <sz val="12"/>
        <rFont val="Times New Roman"/>
        <family val="1"/>
      </rPr>
      <t>1500</t>
    </r>
    <r>
      <rPr>
        <sz val="12"/>
        <rFont val="宋体"/>
        <family val="3"/>
        <charset val="134"/>
      </rPr>
      <t>）</t>
    </r>
    <phoneticPr fontId="2" type="noConversion"/>
  </si>
  <si>
    <r>
      <rPr>
        <sz val="12"/>
        <rFont val="宋体"/>
        <family val="3"/>
        <charset val="134"/>
      </rPr>
      <t>合计</t>
    </r>
    <phoneticPr fontId="6" type="noConversion"/>
  </si>
  <si>
    <t>石方</t>
    <phoneticPr fontId="6" type="noConversion"/>
  </si>
  <si>
    <r>
      <rPr>
        <sz val="12"/>
        <rFont val="宋体"/>
        <family val="3"/>
        <charset val="134"/>
      </rPr>
      <t>序号</t>
    </r>
    <phoneticPr fontId="6" type="noConversion"/>
  </si>
  <si>
    <r>
      <rPr>
        <sz val="12"/>
        <rFont val="宋体"/>
        <family val="3"/>
        <charset val="134"/>
      </rPr>
      <t>名称</t>
    </r>
    <phoneticPr fontId="6" type="noConversion"/>
  </si>
  <si>
    <r>
      <rPr>
        <sz val="12"/>
        <rFont val="宋体"/>
        <family val="3"/>
        <charset val="134"/>
      </rPr>
      <t>数量</t>
    </r>
    <phoneticPr fontId="6" type="noConversion"/>
  </si>
  <si>
    <r>
      <rPr>
        <sz val="12"/>
        <rFont val="宋体"/>
        <family val="3"/>
        <charset val="134"/>
      </rPr>
      <t>单位</t>
    </r>
    <phoneticPr fontId="6" type="noConversion"/>
  </si>
  <si>
    <r>
      <rPr>
        <sz val="12"/>
        <rFont val="宋体"/>
        <family val="3"/>
        <charset val="134"/>
      </rPr>
      <t>备注</t>
    </r>
    <phoneticPr fontId="6" type="noConversion"/>
  </si>
  <si>
    <r>
      <rPr>
        <sz val="12"/>
        <rFont val="宋体"/>
        <family val="3"/>
        <charset val="134"/>
      </rPr>
      <t>序号</t>
    </r>
    <phoneticPr fontId="6" type="noConversion"/>
  </si>
  <si>
    <r>
      <rPr>
        <sz val="12"/>
        <rFont val="宋体"/>
        <family val="3"/>
        <charset val="134"/>
      </rPr>
      <t>名称</t>
    </r>
    <phoneticPr fontId="6" type="noConversion"/>
  </si>
  <si>
    <r>
      <rPr>
        <sz val="12"/>
        <rFont val="宋体"/>
        <family val="3"/>
        <charset val="134"/>
      </rPr>
      <t>数量</t>
    </r>
    <phoneticPr fontId="6" type="noConversion"/>
  </si>
  <si>
    <t>m</t>
    <phoneticPr fontId="6" type="noConversion"/>
  </si>
  <si>
    <t>雨水工程</t>
    <phoneticPr fontId="6" type="noConversion"/>
  </si>
  <si>
    <t>（个）</t>
    <phoneticPr fontId="6" type="noConversion"/>
  </si>
  <si>
    <r>
      <t>主要尺寸</t>
    </r>
    <r>
      <rPr>
        <sz val="10"/>
        <rFont val="宋体"/>
        <family val="3"/>
        <charset val="134"/>
      </rPr>
      <t>及说明</t>
    </r>
    <phoneticPr fontId="2" type="noConversion"/>
  </si>
  <si>
    <t>铸铁井盖及井圈</t>
    <phoneticPr fontId="2" type="noConversion"/>
  </si>
  <si>
    <t>其他</t>
    <phoneticPr fontId="2" type="noConversion"/>
  </si>
  <si>
    <t>M10砂浆砌Mu20砖（流槽）</t>
    <phoneticPr fontId="2" type="noConversion"/>
  </si>
  <si>
    <t>1：2水泥砂浆抹面</t>
    <phoneticPr fontId="6" type="noConversion"/>
  </si>
  <si>
    <t>井室高度</t>
    <phoneticPr fontId="2" type="noConversion"/>
  </si>
  <si>
    <t>井筒高度</t>
    <phoneticPr fontId="2" type="noConversion"/>
  </si>
  <si>
    <t>预制C35砼调节环</t>
    <phoneticPr fontId="2" type="noConversion"/>
  </si>
  <si>
    <t>调节环钢筋Φ8</t>
    <phoneticPr fontId="2" type="noConversion"/>
  </si>
  <si>
    <t>球磨铸铁防沉降井盖</t>
    <phoneticPr fontId="2" type="noConversion"/>
  </si>
  <si>
    <t>预制C30碎石砼井座</t>
    <phoneticPr fontId="6" type="noConversion"/>
  </si>
  <si>
    <t>井座板圈钢筋</t>
    <phoneticPr fontId="6" type="noConversion"/>
  </si>
  <si>
    <t>Φ10以内
（kg）</t>
    <phoneticPr fontId="6" type="noConversion"/>
  </si>
  <si>
    <t>Φ10以外
（kg）</t>
    <phoneticPr fontId="6" type="noConversion"/>
  </si>
  <si>
    <r>
      <t>（</t>
    </r>
    <r>
      <rPr>
        <sz val="10"/>
        <rFont val="Century Schoolbook"/>
        <family val="1"/>
      </rPr>
      <t>m</t>
    </r>
    <r>
      <rPr>
        <vertAlign val="superscript"/>
        <sz val="10"/>
        <rFont val="Century Schoolbook"/>
        <family val="1"/>
      </rPr>
      <t>2</t>
    </r>
    <r>
      <rPr>
        <vertAlign val="superscript"/>
        <sz val="10"/>
        <rFont val="宋体"/>
        <family val="3"/>
        <charset val="134"/>
      </rPr>
      <t>）</t>
    </r>
    <r>
      <rPr>
        <sz val="10"/>
        <rFont val="宋体"/>
        <family val="3"/>
        <charset val="134"/>
      </rPr>
      <t/>
    </r>
    <phoneticPr fontId="6" type="noConversion"/>
  </si>
  <si>
    <r>
      <t>（m</t>
    </r>
    <r>
      <rPr>
        <vertAlign val="superscript"/>
        <sz val="10"/>
        <rFont val="宋体"/>
        <family val="3"/>
        <charset val="134"/>
      </rPr>
      <t>2</t>
    </r>
    <r>
      <rPr>
        <sz val="10"/>
        <rFont val="宋体"/>
        <family val="3"/>
        <charset val="134"/>
      </rPr>
      <t>）</t>
    </r>
    <phoneticPr fontId="6" type="noConversion"/>
  </si>
  <si>
    <t>（m）</t>
    <phoneticPr fontId="2" type="noConversion"/>
  </si>
  <si>
    <t>井背回填</t>
    <phoneticPr fontId="6" type="noConversion"/>
  </si>
  <si>
    <t>埋深</t>
    <phoneticPr fontId="6" type="noConversion"/>
  </si>
  <si>
    <t>路面结构层（至水稳）</t>
    <phoneticPr fontId="6" type="noConversion"/>
  </si>
  <si>
    <t>井筒高度</t>
    <phoneticPr fontId="6" type="noConversion"/>
  </si>
  <si>
    <t>井室高度</t>
    <phoneticPr fontId="6" type="noConversion"/>
  </si>
  <si>
    <t>井室回填高度</t>
    <phoneticPr fontId="6" type="noConversion"/>
  </si>
  <si>
    <t>井筒</t>
    <phoneticPr fontId="6" type="noConversion"/>
  </si>
  <si>
    <t>井室</t>
    <phoneticPr fontId="6" type="noConversion"/>
  </si>
  <si>
    <r>
      <t>d600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Φ1250</t>
    </r>
    <r>
      <rPr>
        <sz val="12"/>
        <rFont val="宋体"/>
        <family val="3"/>
        <charset val="134"/>
      </rPr>
      <t>）</t>
    </r>
    <phoneticPr fontId="2" type="noConversion"/>
  </si>
  <si>
    <r>
      <t>d2000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2400x1100</t>
    </r>
    <r>
      <rPr>
        <sz val="12"/>
        <rFont val="宋体"/>
        <family val="3"/>
        <charset val="134"/>
      </rPr>
      <t>）</t>
    </r>
    <phoneticPr fontId="2" type="noConversion"/>
  </si>
  <si>
    <t>——</t>
    <phoneticPr fontId="2" type="noConversion"/>
  </si>
  <si>
    <t>污水工程（A段）</t>
    <phoneticPr fontId="2" type="noConversion"/>
  </si>
  <si>
    <r>
      <t>d400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Φ1000</t>
    </r>
    <r>
      <rPr>
        <sz val="12"/>
        <rFont val="宋体"/>
        <family val="3"/>
        <charset val="134"/>
      </rPr>
      <t>）</t>
    </r>
    <phoneticPr fontId="2" type="noConversion"/>
  </si>
  <si>
    <r>
      <t>d500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</t>
    </r>
    <r>
      <rPr>
        <sz val="12"/>
        <rFont val="宋体"/>
        <family val="3"/>
        <charset val="134"/>
      </rPr>
      <t>Φ</t>
    </r>
    <r>
      <rPr>
        <sz val="12"/>
        <rFont val="Times New Roman"/>
        <family val="1"/>
      </rPr>
      <t>1000</t>
    </r>
    <r>
      <rPr>
        <sz val="12"/>
        <rFont val="宋体"/>
        <family val="3"/>
        <charset val="134"/>
      </rPr>
      <t>）</t>
    </r>
    <phoneticPr fontId="2" type="noConversion"/>
  </si>
  <si>
    <r>
      <t>d600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</t>
    </r>
    <r>
      <rPr>
        <sz val="12"/>
        <rFont val="宋体"/>
        <family val="3"/>
        <charset val="134"/>
      </rPr>
      <t>Φ</t>
    </r>
    <r>
      <rPr>
        <sz val="12"/>
        <rFont val="Times New Roman"/>
        <family val="1"/>
      </rPr>
      <t>1250</t>
    </r>
    <r>
      <rPr>
        <sz val="12"/>
        <rFont val="宋体"/>
        <family val="3"/>
        <charset val="134"/>
      </rPr>
      <t>）</t>
    </r>
    <phoneticPr fontId="2" type="noConversion"/>
  </si>
  <si>
    <r>
      <t>d800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</t>
    </r>
    <r>
      <rPr>
        <sz val="12"/>
        <rFont val="宋体"/>
        <family val="3"/>
        <charset val="134"/>
      </rPr>
      <t>Φ</t>
    </r>
    <r>
      <rPr>
        <sz val="12"/>
        <rFont val="Times New Roman"/>
        <family val="1"/>
      </rPr>
      <t>1500</t>
    </r>
    <r>
      <rPr>
        <sz val="12"/>
        <rFont val="宋体"/>
        <family val="3"/>
        <charset val="134"/>
      </rPr>
      <t>）</t>
    </r>
    <phoneticPr fontId="2" type="noConversion"/>
  </si>
  <si>
    <t>污水工程（B段）</t>
    <phoneticPr fontId="2" type="noConversion"/>
  </si>
  <si>
    <t>M10砂浆
砌Mu20页岩砖</t>
    <phoneticPr fontId="6" type="noConversion"/>
  </si>
  <si>
    <t>Mu20页岩砖</t>
    <phoneticPr fontId="6" type="noConversion"/>
  </si>
  <si>
    <t>第5页，共7页</t>
    <phoneticPr fontId="2" type="noConversion"/>
  </si>
  <si>
    <t>铸铁井盖及井座</t>
    <phoneticPr fontId="6" type="noConversion"/>
  </si>
  <si>
    <t>（雨水砖砌检查井）</t>
  </si>
  <si>
    <t>垫层</t>
    <phoneticPr fontId="6" type="noConversion"/>
  </si>
  <si>
    <t>底板</t>
    <phoneticPr fontId="6" type="noConversion"/>
  </si>
  <si>
    <r>
      <t>C15</t>
    </r>
    <r>
      <rPr>
        <sz val="10"/>
        <rFont val="宋体"/>
        <family val="3"/>
        <charset val="134"/>
      </rPr>
      <t>砼垫层</t>
    </r>
    <phoneticPr fontId="6" type="noConversion"/>
  </si>
  <si>
    <t>C30砼基础</t>
    <phoneticPr fontId="6" type="noConversion"/>
  </si>
  <si>
    <r>
      <rPr>
        <sz val="10"/>
        <rFont val="宋体"/>
        <family val="3"/>
        <charset val="134"/>
      </rPr>
      <t xml:space="preserve">钢筋
</t>
    </r>
    <r>
      <rPr>
        <sz val="10"/>
        <rFont val="Times New Roman"/>
        <family val="1"/>
      </rPr>
      <t>Φ</t>
    </r>
    <r>
      <rPr>
        <sz val="10"/>
        <rFont val="宋体"/>
        <family val="3"/>
        <charset val="134"/>
      </rPr>
      <t>10外</t>
    </r>
    <phoneticPr fontId="6" type="noConversion"/>
  </si>
  <si>
    <r>
      <t>预制安装</t>
    </r>
    <r>
      <rPr>
        <sz val="10"/>
        <rFont val="Century Schoolbook"/>
        <family val="1"/>
      </rPr>
      <t xml:space="preserve"> C30</t>
    </r>
    <r>
      <rPr>
        <sz val="10"/>
        <rFont val="宋体"/>
        <family val="3"/>
        <charset val="134"/>
      </rPr>
      <t>砼盖板</t>
    </r>
    <phoneticPr fontId="6" type="noConversion"/>
  </si>
  <si>
    <t>圆形砖砌检查井（无地下水）</t>
  </si>
  <si>
    <t>盖板厚度</t>
    <phoneticPr fontId="6" type="noConversion"/>
  </si>
  <si>
    <t>圆形砖砌检查井</t>
  </si>
  <si>
    <r>
      <t>d200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Φ1000</t>
    </r>
    <r>
      <rPr>
        <sz val="12"/>
        <rFont val="宋体"/>
        <family val="3"/>
        <charset val="134"/>
      </rPr>
      <t>）</t>
    </r>
    <phoneticPr fontId="2" type="noConversion"/>
  </si>
  <si>
    <r>
      <t>d300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Φ1000</t>
    </r>
    <r>
      <rPr>
        <sz val="12"/>
        <rFont val="宋体"/>
        <family val="3"/>
        <charset val="134"/>
      </rPr>
      <t>）</t>
    </r>
    <phoneticPr fontId="2" type="noConversion"/>
  </si>
  <si>
    <r>
      <t>d500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Φ1000</t>
    </r>
    <r>
      <rPr>
        <sz val="12"/>
        <rFont val="宋体"/>
        <family val="3"/>
        <charset val="134"/>
      </rPr>
      <t>）</t>
    </r>
    <phoneticPr fontId="2" type="noConversion"/>
  </si>
  <si>
    <r>
      <t>d800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Φ1500</t>
    </r>
    <r>
      <rPr>
        <sz val="12"/>
        <rFont val="宋体"/>
        <family val="3"/>
        <charset val="134"/>
      </rPr>
      <t>）</t>
    </r>
    <phoneticPr fontId="2" type="noConversion"/>
  </si>
  <si>
    <r>
      <t>d1000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Φ1500</t>
    </r>
    <r>
      <rPr>
        <sz val="12"/>
        <rFont val="宋体"/>
        <family val="3"/>
        <charset val="134"/>
      </rPr>
      <t>）</t>
    </r>
    <phoneticPr fontId="2" type="noConversion"/>
  </si>
  <si>
    <t>矩形砖砌检查井</t>
  </si>
  <si>
    <t>圆形砖砌检查井（有地下水）</t>
  </si>
  <si>
    <t>矩形砖砌检查井（无地下水）</t>
  </si>
  <si>
    <r>
      <t>d800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1200x1100</t>
    </r>
    <r>
      <rPr>
        <sz val="12"/>
        <rFont val="宋体"/>
        <family val="3"/>
        <charset val="134"/>
      </rPr>
      <t>）</t>
    </r>
    <phoneticPr fontId="2" type="noConversion"/>
  </si>
  <si>
    <r>
      <t>d1000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1400x1100</t>
    </r>
    <r>
      <rPr>
        <sz val="12"/>
        <rFont val="宋体"/>
        <family val="3"/>
        <charset val="134"/>
      </rPr>
      <t>）</t>
    </r>
    <phoneticPr fontId="2" type="noConversion"/>
  </si>
  <si>
    <r>
      <t>d1200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1700x1100</t>
    </r>
    <r>
      <rPr>
        <sz val="12"/>
        <rFont val="宋体"/>
        <family val="3"/>
        <charset val="134"/>
      </rPr>
      <t>）</t>
    </r>
    <phoneticPr fontId="2" type="noConversion"/>
  </si>
  <si>
    <r>
      <t>d1350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1900x1100</t>
    </r>
    <r>
      <rPr>
        <sz val="12"/>
        <rFont val="宋体"/>
        <family val="3"/>
        <charset val="134"/>
      </rPr>
      <t>）</t>
    </r>
    <phoneticPr fontId="2" type="noConversion"/>
  </si>
  <si>
    <r>
      <t>d1500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2200x1100</t>
    </r>
    <r>
      <rPr>
        <sz val="12"/>
        <rFont val="宋体"/>
        <family val="3"/>
        <charset val="134"/>
      </rPr>
      <t>）</t>
    </r>
    <phoneticPr fontId="2" type="noConversion"/>
  </si>
  <si>
    <r>
      <t>d1650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2200x1100</t>
    </r>
    <r>
      <rPr>
        <sz val="12"/>
        <rFont val="宋体"/>
        <family val="3"/>
        <charset val="134"/>
      </rPr>
      <t>）</t>
    </r>
    <phoneticPr fontId="2" type="noConversion"/>
  </si>
  <si>
    <r>
      <t>d1800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2400x1100</t>
    </r>
    <r>
      <rPr>
        <sz val="12"/>
        <rFont val="宋体"/>
        <family val="3"/>
        <charset val="134"/>
      </rPr>
      <t>）</t>
    </r>
    <phoneticPr fontId="2" type="noConversion"/>
  </si>
  <si>
    <r>
      <t>d2000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2600x1100</t>
    </r>
    <r>
      <rPr>
        <sz val="12"/>
        <rFont val="宋体"/>
        <family val="3"/>
        <charset val="134"/>
      </rPr>
      <t>）</t>
    </r>
    <phoneticPr fontId="2" type="noConversion"/>
  </si>
  <si>
    <r>
      <t>d2200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2900x1100</t>
    </r>
    <r>
      <rPr>
        <sz val="12"/>
        <rFont val="宋体"/>
        <family val="3"/>
        <charset val="134"/>
      </rPr>
      <t>）</t>
    </r>
    <phoneticPr fontId="2" type="noConversion"/>
  </si>
  <si>
    <r>
      <t>d2400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3100x1100</t>
    </r>
    <r>
      <rPr>
        <sz val="12"/>
        <rFont val="宋体"/>
        <family val="3"/>
        <charset val="134"/>
      </rPr>
      <t>）</t>
    </r>
    <phoneticPr fontId="2" type="noConversion"/>
  </si>
  <si>
    <t>矩形砖砌检查井（有地下水）</t>
  </si>
  <si>
    <t>≮≠≯</t>
    <phoneticPr fontId="6" type="noConversion"/>
  </si>
  <si>
    <t>矩形三通砖砌检查井（无地下水）</t>
    <phoneticPr fontId="6" type="noConversion"/>
  </si>
  <si>
    <r>
      <t>d1000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1700x1700</t>
    </r>
    <r>
      <rPr>
        <sz val="12"/>
        <rFont val="宋体"/>
        <family val="3"/>
        <charset val="134"/>
      </rPr>
      <t>）</t>
    </r>
    <phoneticPr fontId="2" type="noConversion"/>
  </si>
  <si>
    <r>
      <t>d1200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2100x2100</t>
    </r>
    <r>
      <rPr>
        <sz val="12"/>
        <rFont val="宋体"/>
        <family val="3"/>
        <charset val="134"/>
      </rPr>
      <t>）</t>
    </r>
    <phoneticPr fontId="2" type="noConversion"/>
  </si>
  <si>
    <r>
      <t>d1350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2400x2400</t>
    </r>
    <r>
      <rPr>
        <sz val="12"/>
        <rFont val="宋体"/>
        <family val="3"/>
        <charset val="134"/>
      </rPr>
      <t>）</t>
    </r>
    <phoneticPr fontId="2" type="noConversion"/>
  </si>
  <si>
    <r>
      <t>d1500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2700x2700</t>
    </r>
    <r>
      <rPr>
        <sz val="12"/>
        <rFont val="宋体"/>
        <family val="3"/>
        <charset val="134"/>
      </rPr>
      <t>）</t>
    </r>
    <phoneticPr fontId="2" type="noConversion"/>
  </si>
  <si>
    <r>
      <t>d1650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2700x2700</t>
    </r>
    <r>
      <rPr>
        <sz val="12"/>
        <rFont val="宋体"/>
        <family val="3"/>
        <charset val="134"/>
      </rPr>
      <t>）</t>
    </r>
    <phoneticPr fontId="2" type="noConversion"/>
  </si>
  <si>
    <r>
      <t>d1800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3000x3000</t>
    </r>
    <r>
      <rPr>
        <sz val="12"/>
        <rFont val="宋体"/>
        <family val="3"/>
        <charset val="134"/>
      </rPr>
      <t>）</t>
    </r>
    <phoneticPr fontId="2" type="noConversion"/>
  </si>
  <si>
    <r>
      <t>d2000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3300x3300</t>
    </r>
    <r>
      <rPr>
        <sz val="12"/>
        <rFont val="宋体"/>
        <family val="3"/>
        <charset val="134"/>
      </rPr>
      <t>）</t>
    </r>
    <phoneticPr fontId="2" type="noConversion"/>
  </si>
  <si>
    <r>
      <t>d2200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3700x3700</t>
    </r>
    <r>
      <rPr>
        <sz val="12"/>
        <rFont val="宋体"/>
        <family val="3"/>
        <charset val="134"/>
      </rPr>
      <t>）</t>
    </r>
    <phoneticPr fontId="2" type="noConversion"/>
  </si>
  <si>
    <r>
      <t>d2400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4000x4000</t>
    </r>
    <r>
      <rPr>
        <sz val="12"/>
        <rFont val="宋体"/>
        <family val="3"/>
        <charset val="134"/>
      </rPr>
      <t>）</t>
    </r>
    <phoneticPr fontId="2" type="noConversion"/>
  </si>
  <si>
    <t>矩形三通砖砌检查井（有地下水）</t>
    <phoneticPr fontId="6" type="noConversion"/>
  </si>
  <si>
    <t>名称</t>
    <phoneticPr fontId="2" type="noConversion"/>
  </si>
  <si>
    <t>数量</t>
    <phoneticPr fontId="2" type="noConversion"/>
  </si>
  <si>
    <r>
      <t>C30</t>
    </r>
    <r>
      <rPr>
        <sz val="12"/>
        <rFont val="宋体"/>
        <family val="1"/>
        <charset val="134"/>
      </rPr>
      <t>混凝土（</t>
    </r>
    <r>
      <rPr>
        <sz val="12"/>
        <rFont val="Times New Roman"/>
        <family val="1"/>
      </rPr>
      <t>m³</t>
    </r>
    <r>
      <rPr>
        <sz val="12"/>
        <rFont val="宋体"/>
        <family val="1"/>
        <charset val="134"/>
      </rPr>
      <t>）</t>
    </r>
    <r>
      <rPr>
        <sz val="12"/>
        <rFont val="Times New Roman"/>
        <family val="1"/>
      </rPr>
      <t xml:space="preserve">
</t>
    </r>
    <r>
      <rPr>
        <sz val="12"/>
        <rFont val="宋体"/>
        <family val="1"/>
        <charset val="134"/>
      </rPr>
      <t>端墙基础、底板及帽石</t>
    </r>
    <phoneticPr fontId="2" type="noConversion"/>
  </si>
  <si>
    <r>
      <rPr>
        <sz val="12"/>
        <rFont val="宋体"/>
        <family val="1"/>
        <charset val="134"/>
      </rPr>
      <t>砖砌体（</t>
    </r>
    <r>
      <rPr>
        <sz val="12"/>
        <rFont val="Times New Roman"/>
        <family val="1"/>
      </rPr>
      <t>m³</t>
    </r>
    <r>
      <rPr>
        <sz val="12"/>
        <rFont val="宋体"/>
        <family val="1"/>
        <charset val="134"/>
      </rPr>
      <t>）</t>
    </r>
    <r>
      <rPr>
        <sz val="12"/>
        <rFont val="Times New Roman"/>
        <family val="1"/>
      </rPr>
      <t xml:space="preserve">
</t>
    </r>
    <r>
      <rPr>
        <sz val="12"/>
        <rFont val="宋体"/>
        <family val="1"/>
        <charset val="134"/>
      </rPr>
      <t>砖墙及八字翼墙</t>
    </r>
    <phoneticPr fontId="2" type="noConversion"/>
  </si>
  <si>
    <t>砖砌体八字出水口</t>
    <phoneticPr fontId="6" type="noConversion"/>
  </si>
  <si>
    <t>规格</t>
    <phoneticPr fontId="2" type="noConversion"/>
  </si>
  <si>
    <r>
      <t>M10</t>
    </r>
    <r>
      <rPr>
        <sz val="12"/>
        <rFont val="宋体"/>
        <family val="1"/>
        <charset val="134"/>
      </rPr>
      <t>（</t>
    </r>
    <r>
      <rPr>
        <sz val="12"/>
        <rFont val="Segoe UI Symbol"/>
        <family val="1"/>
      </rPr>
      <t>㎡</t>
    </r>
    <r>
      <rPr>
        <sz val="12"/>
        <rFont val="宋体"/>
        <family val="1"/>
        <charset val="134"/>
      </rPr>
      <t>）</t>
    </r>
    <r>
      <rPr>
        <sz val="12"/>
        <rFont val="Times New Roman"/>
        <family val="1"/>
      </rPr>
      <t xml:space="preserve">
</t>
    </r>
    <r>
      <rPr>
        <sz val="12"/>
        <rFont val="宋体"/>
        <family val="1"/>
        <charset val="134"/>
      </rPr>
      <t>水泥砂浆抹面</t>
    </r>
    <phoneticPr fontId="2" type="noConversion"/>
  </si>
  <si>
    <t>备注</t>
    <phoneticPr fontId="2" type="noConversion"/>
  </si>
  <si>
    <t>D=1500</t>
    <phoneticPr fontId="2" type="noConversion"/>
  </si>
  <si>
    <r>
      <t>20S517,</t>
    </r>
    <r>
      <rPr>
        <sz val="12"/>
        <rFont val="宋体"/>
        <family val="1"/>
        <charset val="134"/>
      </rPr>
      <t>页</t>
    </r>
    <r>
      <rPr>
        <sz val="12"/>
        <rFont val="Times New Roman"/>
        <family val="1"/>
      </rPr>
      <t>5</t>
    </r>
    <phoneticPr fontId="2" type="noConversion"/>
  </si>
  <si>
    <t>第4页，共7页</t>
    <phoneticPr fontId="2" type="noConversion"/>
  </si>
  <si>
    <t>（雨水管道）</t>
    <phoneticPr fontId="6" type="noConversion"/>
  </si>
  <si>
    <t>预制C30砼</t>
  </si>
  <si>
    <t>重型球墨铸铁井盖</t>
    <phoneticPr fontId="6" type="noConversion"/>
  </si>
  <si>
    <t>项目名称：平南县现代林业科技产业园第四支线给排水工程</t>
    <phoneticPr fontId="6" type="noConversion"/>
  </si>
  <si>
    <t>项目名称：平南县现代林业科技产业园第四支线给排水工程</t>
    <phoneticPr fontId="2" type="noConversion"/>
  </si>
  <si>
    <t>圆形钢筋砼检查井</t>
    <phoneticPr fontId="6" type="noConversion"/>
  </si>
  <si>
    <t>C30混凝土</t>
    <phoneticPr fontId="6" type="noConversion"/>
  </si>
  <si>
    <t>（流槽）</t>
    <phoneticPr fontId="6" type="noConversion"/>
  </si>
  <si>
    <t>M10水泥砂浆砌Mu10流槽专用砖</t>
    <phoneticPr fontId="6" type="noConversion"/>
  </si>
  <si>
    <t>（雨水钢筋砼检查井）</t>
    <phoneticPr fontId="6" type="noConversion"/>
  </si>
  <si>
    <r>
      <t xml:space="preserve">井筒
</t>
    </r>
    <r>
      <rPr>
        <sz val="10"/>
        <rFont val="Calibri"/>
        <family val="3"/>
        <charset val="161"/>
      </rPr>
      <t>Φ</t>
    </r>
    <r>
      <rPr>
        <sz val="10"/>
        <rFont val="宋体"/>
        <family val="3"/>
        <charset val="134"/>
      </rPr>
      <t>10内</t>
    </r>
    <phoneticPr fontId="6" type="noConversion"/>
  </si>
  <si>
    <t>矩形三通钢筋砼检查井（有地下水.，0.8≤Hs≤2.0）</t>
    <phoneticPr fontId="6" type="noConversion"/>
  </si>
  <si>
    <t>矩形三通钢筋砼检查井（有地下水.，0.4≤Hs≤0.8，2.0≤Hs≤4.0）</t>
    <phoneticPr fontId="6" type="noConversion"/>
  </si>
  <si>
    <r>
      <rPr>
        <sz val="24"/>
        <rFont val="宋体"/>
        <family val="3"/>
        <charset val="134"/>
      </rPr>
      <t>管段编号</t>
    </r>
    <phoneticPr fontId="6" type="noConversion"/>
  </si>
  <si>
    <r>
      <rPr>
        <sz val="24"/>
        <rFont val="宋体"/>
        <family val="3"/>
        <charset val="134"/>
      </rPr>
      <t>工程名称</t>
    </r>
    <phoneticPr fontId="6" type="noConversion"/>
  </si>
  <si>
    <r>
      <rPr>
        <sz val="24"/>
        <rFont val="宋体"/>
        <family val="3"/>
        <charset val="134"/>
      </rPr>
      <t>管径</t>
    </r>
    <phoneticPr fontId="6" type="noConversion"/>
  </si>
  <si>
    <r>
      <rPr>
        <sz val="24"/>
        <rFont val="宋体"/>
        <family val="3"/>
        <charset val="134"/>
      </rPr>
      <t>管径（</t>
    </r>
    <r>
      <rPr>
        <sz val="24"/>
        <rFont val="Times New Roman"/>
        <family val="1"/>
      </rPr>
      <t>mm</t>
    </r>
    <r>
      <rPr>
        <sz val="24"/>
        <rFont val="宋体"/>
        <family val="3"/>
        <charset val="134"/>
      </rPr>
      <t>）</t>
    </r>
    <phoneticPr fontId="6" type="noConversion"/>
  </si>
  <si>
    <r>
      <rPr>
        <sz val="24"/>
        <rFont val="宋体"/>
        <family val="3"/>
        <charset val="134"/>
      </rPr>
      <t>壁厚</t>
    </r>
    <r>
      <rPr>
        <sz val="24"/>
        <rFont val="Times New Roman"/>
        <family val="1"/>
      </rPr>
      <t>t(mm)</t>
    </r>
    <phoneticPr fontId="6" type="noConversion"/>
  </si>
  <si>
    <r>
      <rPr>
        <sz val="24"/>
        <rFont val="宋体"/>
        <family val="3"/>
        <charset val="134"/>
      </rPr>
      <t>沟槽底宽</t>
    </r>
    <r>
      <rPr>
        <sz val="24"/>
        <rFont val="Times New Roman"/>
        <family val="1"/>
      </rPr>
      <t>(mm)</t>
    </r>
    <phoneticPr fontId="6" type="noConversion"/>
  </si>
  <si>
    <r>
      <rPr>
        <sz val="24"/>
        <rFont val="宋体"/>
        <family val="3"/>
        <charset val="134"/>
      </rPr>
      <t>混凝土基础断面</t>
    </r>
    <phoneticPr fontId="6" type="noConversion"/>
  </si>
  <si>
    <r>
      <rPr>
        <sz val="24"/>
        <rFont val="宋体"/>
        <family val="3"/>
        <charset val="134"/>
      </rPr>
      <t>工作面</t>
    </r>
    <r>
      <rPr>
        <sz val="24"/>
        <rFont val="Times New Roman"/>
        <family val="1"/>
      </rPr>
      <t>a</t>
    </r>
    <phoneticPr fontId="6" type="noConversion"/>
  </si>
  <si>
    <r>
      <rPr>
        <sz val="24"/>
        <rFont val="宋体"/>
        <family val="3"/>
        <charset val="134"/>
      </rPr>
      <t>边坡系数</t>
    </r>
    <phoneticPr fontId="6" type="noConversion"/>
  </si>
  <si>
    <r>
      <rPr>
        <sz val="24"/>
        <rFont val="宋体"/>
        <family val="3"/>
        <charset val="134"/>
      </rPr>
      <t>管长</t>
    </r>
    <phoneticPr fontId="6" type="noConversion"/>
  </si>
  <si>
    <r>
      <rPr>
        <sz val="24"/>
        <rFont val="宋体"/>
        <family val="3"/>
        <charset val="134"/>
      </rPr>
      <t>垫层厚度</t>
    </r>
    <phoneticPr fontId="6" type="noConversion"/>
  </si>
  <si>
    <r>
      <t>C25</t>
    </r>
    <r>
      <rPr>
        <sz val="24"/>
        <rFont val="宋体"/>
        <family val="3"/>
        <charset val="134"/>
      </rPr>
      <t>砼基础</t>
    </r>
    <phoneticPr fontId="6" type="noConversion"/>
  </si>
  <si>
    <r>
      <rPr>
        <sz val="24"/>
        <rFont val="宋体"/>
        <family val="3"/>
        <charset val="134"/>
      </rPr>
      <t>平均埋深</t>
    </r>
    <r>
      <rPr>
        <sz val="24"/>
        <rFont val="Times New Roman"/>
        <family val="1"/>
      </rPr>
      <t xml:space="preserve">h         </t>
    </r>
    <phoneticPr fontId="6" type="noConversion"/>
  </si>
  <si>
    <r>
      <rPr>
        <sz val="24"/>
        <rFont val="宋体"/>
        <family val="3"/>
        <charset val="134"/>
      </rPr>
      <t>路面结构层厚度</t>
    </r>
    <phoneticPr fontId="6" type="noConversion"/>
  </si>
  <si>
    <r>
      <rPr>
        <sz val="24"/>
        <rFont val="宋体"/>
        <family val="3"/>
        <charset val="134"/>
      </rPr>
      <t>平均挖深</t>
    </r>
    <phoneticPr fontId="6" type="noConversion"/>
  </si>
  <si>
    <r>
      <rPr>
        <sz val="24"/>
        <rFont val="宋体"/>
        <family val="3"/>
        <charset val="134"/>
      </rPr>
      <t>挖方</t>
    </r>
    <phoneticPr fontId="6" type="noConversion"/>
  </si>
  <si>
    <r>
      <rPr>
        <sz val="24"/>
        <rFont val="宋体"/>
        <family val="3"/>
        <charset val="134"/>
      </rPr>
      <t>填方</t>
    </r>
    <phoneticPr fontId="6" type="noConversion"/>
  </si>
  <si>
    <t>土方外运</t>
    <phoneticPr fontId="6" type="noConversion"/>
  </si>
  <si>
    <t>石方外运</t>
    <phoneticPr fontId="6" type="noConversion"/>
  </si>
  <si>
    <r>
      <rPr>
        <sz val="24"/>
        <rFont val="宋体"/>
        <family val="3"/>
        <charset val="134"/>
      </rPr>
      <t>备注</t>
    </r>
    <phoneticPr fontId="6" type="noConversion"/>
  </si>
  <si>
    <r>
      <rPr>
        <sz val="24"/>
        <rFont val="宋体"/>
        <family val="3"/>
        <charset val="134"/>
      </rPr>
      <t>砼基础宽度</t>
    </r>
    <r>
      <rPr>
        <sz val="24"/>
        <rFont val="Times New Roman"/>
        <family val="1"/>
      </rPr>
      <t>B</t>
    </r>
    <phoneticPr fontId="6" type="noConversion"/>
  </si>
  <si>
    <r>
      <rPr>
        <sz val="24"/>
        <rFont val="宋体"/>
        <family val="3"/>
        <charset val="134"/>
      </rPr>
      <t>砼基础高度</t>
    </r>
    <r>
      <rPr>
        <sz val="24"/>
        <rFont val="Times New Roman"/>
        <family val="1"/>
      </rPr>
      <t>C1</t>
    </r>
    <phoneticPr fontId="6" type="noConversion"/>
  </si>
  <si>
    <r>
      <rPr>
        <sz val="24"/>
        <rFont val="宋体"/>
        <family val="3"/>
        <charset val="134"/>
      </rPr>
      <t>砼基础高度</t>
    </r>
    <r>
      <rPr>
        <sz val="24"/>
        <rFont val="Times New Roman"/>
        <family val="1"/>
      </rPr>
      <t>C2</t>
    </r>
    <phoneticPr fontId="6" type="noConversion"/>
  </si>
  <si>
    <t>III类土方</t>
    <phoneticPr fontId="6" type="noConversion"/>
  </si>
  <si>
    <r>
      <rPr>
        <sz val="24"/>
        <rFont val="宋体"/>
        <family val="3"/>
        <charset val="134"/>
      </rPr>
      <t>Ⅱ类</t>
    </r>
    <phoneticPr fontId="6" type="noConversion"/>
  </si>
  <si>
    <r>
      <rPr>
        <sz val="24"/>
        <rFont val="宋体"/>
        <family val="3"/>
        <charset val="134"/>
      </rPr>
      <t>Ⅲ类</t>
    </r>
    <phoneticPr fontId="6" type="noConversion"/>
  </si>
  <si>
    <r>
      <rPr>
        <sz val="24"/>
        <rFont val="宋体"/>
        <family val="3"/>
        <charset val="134"/>
      </rPr>
      <t>Ⅳ类</t>
    </r>
    <phoneticPr fontId="6" type="noConversion"/>
  </si>
  <si>
    <r>
      <rPr>
        <sz val="24"/>
        <rFont val="宋体"/>
        <family val="3"/>
        <charset val="134"/>
      </rPr>
      <t>回填石方</t>
    </r>
    <phoneticPr fontId="6" type="noConversion"/>
  </si>
  <si>
    <r>
      <rPr>
        <sz val="24"/>
        <rFont val="宋体"/>
        <family val="3"/>
        <charset val="134"/>
      </rPr>
      <t>（</t>
    </r>
    <r>
      <rPr>
        <sz val="24"/>
        <rFont val="Times New Roman"/>
        <family val="1"/>
      </rPr>
      <t>m</t>
    </r>
    <r>
      <rPr>
        <sz val="24"/>
        <rFont val="宋体"/>
        <family val="3"/>
        <charset val="134"/>
      </rPr>
      <t>）</t>
    </r>
    <phoneticPr fontId="6" type="noConversion"/>
  </si>
  <si>
    <r>
      <rPr>
        <sz val="24"/>
        <rFont val="宋体"/>
        <family val="3"/>
        <charset val="134"/>
      </rPr>
      <t>（</t>
    </r>
    <r>
      <rPr>
        <sz val="24"/>
        <rFont val="Times New Roman"/>
        <family val="1"/>
      </rPr>
      <t>m</t>
    </r>
    <r>
      <rPr>
        <vertAlign val="superscript"/>
        <sz val="24"/>
        <rFont val="Times New Roman"/>
        <family val="1"/>
      </rPr>
      <t>3</t>
    </r>
    <r>
      <rPr>
        <sz val="24"/>
        <rFont val="宋体"/>
        <family val="3"/>
        <charset val="134"/>
      </rPr>
      <t>）</t>
    </r>
    <phoneticPr fontId="6" type="noConversion"/>
  </si>
  <si>
    <r>
      <rPr>
        <sz val="24"/>
        <rFont val="宋体"/>
        <family val="3"/>
        <charset val="134"/>
      </rPr>
      <t>砼全包基础</t>
    </r>
    <phoneticPr fontId="6" type="noConversion"/>
  </si>
  <si>
    <r>
      <rPr>
        <sz val="24"/>
        <rFont val="宋体"/>
        <family val="3"/>
        <charset val="134"/>
      </rPr>
      <t>合计</t>
    </r>
    <phoneticPr fontId="6" type="noConversion"/>
  </si>
  <si>
    <r>
      <t>1</t>
    </r>
    <r>
      <rPr>
        <sz val="24"/>
        <rFont val="宋体"/>
        <family val="3"/>
        <charset val="134"/>
      </rPr>
      <t>、挖方</t>
    </r>
    <phoneticPr fontId="6" type="noConversion"/>
  </si>
  <si>
    <r>
      <t>III</t>
    </r>
    <r>
      <rPr>
        <sz val="24"/>
        <rFont val="宋体"/>
        <family val="1"/>
        <charset val="134"/>
      </rPr>
      <t>类</t>
    </r>
    <r>
      <rPr>
        <sz val="24"/>
        <rFont val="宋体"/>
        <family val="3"/>
        <charset val="134"/>
      </rPr>
      <t>土方</t>
    </r>
    <phoneticPr fontId="6" type="noConversion"/>
  </si>
  <si>
    <r>
      <t>m</t>
    </r>
    <r>
      <rPr>
        <vertAlign val="superscript"/>
        <sz val="24"/>
        <rFont val="Times New Roman"/>
        <family val="1"/>
      </rPr>
      <t>3</t>
    </r>
    <phoneticPr fontId="6" type="noConversion"/>
  </si>
  <si>
    <r>
      <rPr>
        <sz val="24"/>
        <rFont val="宋体"/>
        <family val="3"/>
        <charset val="134"/>
      </rPr>
      <t>Ⅵ类</t>
    </r>
    <phoneticPr fontId="6" type="noConversion"/>
  </si>
  <si>
    <r>
      <t>3</t>
    </r>
    <r>
      <rPr>
        <sz val="24"/>
        <rFont val="宋体"/>
        <family val="3"/>
        <charset val="134"/>
      </rPr>
      <t>、弃方</t>
    </r>
    <phoneticPr fontId="6" type="noConversion"/>
  </si>
  <si>
    <r>
      <rPr>
        <sz val="24"/>
        <rFont val="宋体"/>
        <family val="3"/>
        <charset val="134"/>
      </rPr>
      <t>Ⅲ类</t>
    </r>
  </si>
  <si>
    <r>
      <t>(</t>
    </r>
    <r>
      <rPr>
        <sz val="12"/>
        <rFont val="宋体"/>
        <family val="3"/>
        <charset val="134"/>
      </rPr>
      <t>雨水连接管</t>
    </r>
    <r>
      <rPr>
        <sz val="12"/>
        <rFont val="Times New Roman"/>
        <family val="1"/>
      </rPr>
      <t>)</t>
    </r>
    <phoneticPr fontId="6" type="noConversion"/>
  </si>
  <si>
    <t xml:space="preserve"> </t>
  </si>
  <si>
    <r>
      <rPr>
        <sz val="14"/>
        <rFont val="宋体"/>
        <family val="3"/>
        <charset val="134"/>
      </rPr>
      <t>序号</t>
    </r>
  </si>
  <si>
    <r>
      <rPr>
        <sz val="14"/>
        <rFont val="宋体"/>
        <family val="3"/>
        <charset val="134"/>
      </rPr>
      <t>工程名称</t>
    </r>
  </si>
  <si>
    <r>
      <rPr>
        <sz val="14"/>
        <rFont val="宋体"/>
        <family val="3"/>
        <charset val="134"/>
      </rPr>
      <t>主要尺寸及说明</t>
    </r>
  </si>
  <si>
    <r>
      <rPr>
        <sz val="14"/>
        <rFont val="宋体"/>
        <family val="3"/>
        <charset val="134"/>
      </rPr>
      <t>管道长度</t>
    </r>
  </si>
  <si>
    <r>
      <rPr>
        <sz val="14"/>
        <rFont val="宋体"/>
        <family val="3"/>
        <charset val="134"/>
      </rPr>
      <t>砂砾石垫层</t>
    </r>
    <phoneticPr fontId="6" type="noConversion"/>
  </si>
  <si>
    <r>
      <t>C15</t>
    </r>
    <r>
      <rPr>
        <sz val="14"/>
        <rFont val="宋体"/>
        <family val="3"/>
        <charset val="134"/>
      </rPr>
      <t xml:space="preserve">砼
</t>
    </r>
    <r>
      <rPr>
        <sz val="14"/>
        <rFont val="Times New Roman"/>
        <family val="1"/>
      </rPr>
      <t>180°</t>
    </r>
    <r>
      <rPr>
        <sz val="14"/>
        <rFont val="宋体"/>
        <family val="3"/>
        <charset val="134"/>
      </rPr>
      <t>基础</t>
    </r>
    <phoneticPr fontId="6" type="noConversion"/>
  </si>
  <si>
    <r>
      <t>C25</t>
    </r>
    <r>
      <rPr>
        <sz val="14"/>
        <rFont val="宋体"/>
        <family val="3"/>
        <charset val="134"/>
      </rPr>
      <t>砼
全包管基础</t>
    </r>
    <phoneticPr fontId="6" type="noConversion"/>
  </si>
  <si>
    <r>
      <rPr>
        <sz val="14"/>
        <rFont val="宋体"/>
        <family val="3"/>
        <charset val="134"/>
      </rPr>
      <t>水泥砂浆接口</t>
    </r>
  </si>
  <si>
    <r>
      <rPr>
        <sz val="14"/>
        <rFont val="宋体"/>
        <family val="3"/>
        <charset val="134"/>
      </rPr>
      <t>橡胶圈接口</t>
    </r>
    <phoneticPr fontId="6" type="noConversion"/>
  </si>
  <si>
    <r>
      <rPr>
        <sz val="14"/>
        <rFont val="宋体"/>
        <family val="3"/>
        <charset val="134"/>
      </rPr>
      <t>双组分聚
硫密封膏</t>
    </r>
  </si>
  <si>
    <r>
      <rPr>
        <sz val="14"/>
        <rFont val="宋体"/>
        <family val="3"/>
        <charset val="134"/>
      </rPr>
      <t>汽车运输铪管</t>
    </r>
    <phoneticPr fontId="6" type="noConversion"/>
  </si>
  <si>
    <r>
      <rPr>
        <sz val="14"/>
        <rFont val="宋体"/>
        <family val="3"/>
        <charset val="134"/>
      </rPr>
      <t>人工挖槽</t>
    </r>
  </si>
  <si>
    <r>
      <rPr>
        <sz val="14"/>
        <rFont val="宋体"/>
        <family val="3"/>
        <charset val="134"/>
      </rPr>
      <t>利用土回填</t>
    </r>
    <phoneticPr fontId="6" type="noConversion"/>
  </si>
  <si>
    <r>
      <rPr>
        <sz val="14"/>
        <rFont val="宋体"/>
        <family val="3"/>
        <charset val="134"/>
      </rPr>
      <t>备</t>
    </r>
    <r>
      <rPr>
        <sz val="14"/>
        <rFont val="Times New Roman"/>
        <family val="1"/>
      </rPr>
      <t xml:space="preserve">   </t>
    </r>
    <r>
      <rPr>
        <sz val="14"/>
        <rFont val="宋体"/>
        <family val="3"/>
        <charset val="134"/>
      </rPr>
      <t>注</t>
    </r>
  </si>
  <si>
    <r>
      <rPr>
        <sz val="14"/>
        <rFont val="宋体"/>
        <family val="3"/>
        <charset val="134"/>
      </rPr>
      <t>（</t>
    </r>
    <r>
      <rPr>
        <sz val="14"/>
        <rFont val="Times New Roman"/>
        <family val="1"/>
      </rPr>
      <t>m</t>
    </r>
    <r>
      <rPr>
        <sz val="14"/>
        <rFont val="宋体"/>
        <family val="3"/>
        <charset val="134"/>
      </rPr>
      <t>）</t>
    </r>
  </si>
  <si>
    <r>
      <rPr>
        <sz val="14"/>
        <rFont val="宋体"/>
        <family val="3"/>
        <charset val="134"/>
      </rPr>
      <t>（</t>
    </r>
    <r>
      <rPr>
        <sz val="14"/>
        <rFont val="Times New Roman"/>
        <family val="1"/>
      </rPr>
      <t>m³</t>
    </r>
    <r>
      <rPr>
        <sz val="14"/>
        <rFont val="宋体"/>
        <family val="3"/>
        <charset val="134"/>
      </rPr>
      <t>）</t>
    </r>
  </si>
  <si>
    <r>
      <rPr>
        <sz val="14"/>
        <rFont val="宋体"/>
        <family val="3"/>
        <charset val="134"/>
      </rPr>
      <t>（个）</t>
    </r>
  </si>
  <si>
    <r>
      <rPr>
        <sz val="14"/>
        <rFont val="宋体"/>
        <family val="3"/>
        <charset val="134"/>
      </rPr>
      <t>雨水联接管</t>
    </r>
  </si>
  <si>
    <r>
      <t>d300</t>
    </r>
    <r>
      <rPr>
        <sz val="14"/>
        <rFont val="宋体"/>
        <family val="3"/>
        <charset val="134"/>
      </rPr>
      <t>砼全包管</t>
    </r>
  </si>
  <si>
    <t>钢筋砼承插口管</t>
    <phoneticPr fontId="6" type="noConversion"/>
  </si>
  <si>
    <r>
      <rPr>
        <sz val="14"/>
        <rFont val="宋体"/>
        <family val="3"/>
        <charset val="134"/>
      </rPr>
      <t>合计</t>
    </r>
    <phoneticPr fontId="6" type="noConversion"/>
  </si>
  <si>
    <r>
      <rPr>
        <sz val="12"/>
        <rFont val="宋体"/>
        <family val="3"/>
        <charset val="134"/>
      </rPr>
      <t>名称</t>
    </r>
  </si>
  <si>
    <r>
      <rPr>
        <sz val="12"/>
        <rFont val="宋体"/>
        <family val="3"/>
        <charset val="134"/>
      </rPr>
      <t>数量</t>
    </r>
  </si>
  <si>
    <r>
      <rPr>
        <sz val="12"/>
        <rFont val="宋体"/>
        <family val="3"/>
        <charset val="134"/>
      </rPr>
      <t>现浇</t>
    </r>
    <r>
      <rPr>
        <sz val="12"/>
        <rFont val="Times New Roman"/>
        <family val="1"/>
      </rPr>
      <t>C20</t>
    </r>
    <phoneticPr fontId="6" type="noConversion"/>
  </si>
  <si>
    <r>
      <t>6mm</t>
    </r>
    <r>
      <rPr>
        <sz val="12"/>
        <rFont val="宋体"/>
        <family val="3"/>
        <charset val="134"/>
      </rPr>
      <t>厚钢板</t>
    </r>
  </si>
  <si>
    <r>
      <t>M10</t>
    </r>
    <r>
      <rPr>
        <sz val="12"/>
        <rFont val="宋体"/>
        <family val="3"/>
        <charset val="134"/>
      </rPr>
      <t>水泥</t>
    </r>
  </si>
  <si>
    <t>雨水口</t>
    <phoneticPr fontId="6" type="noConversion"/>
  </si>
  <si>
    <r>
      <rPr>
        <sz val="12"/>
        <rFont val="宋体"/>
        <family val="3"/>
        <charset val="134"/>
      </rPr>
      <t>溢流口</t>
    </r>
    <phoneticPr fontId="6" type="noConversion"/>
  </si>
  <si>
    <r>
      <rPr>
        <sz val="12"/>
        <rFont val="宋体"/>
        <family val="3"/>
        <charset val="134"/>
      </rPr>
      <t>井周边回填</t>
    </r>
    <phoneticPr fontId="6" type="noConversion"/>
  </si>
  <si>
    <r>
      <rPr>
        <sz val="12"/>
        <rFont val="宋体"/>
        <family val="3"/>
        <charset val="134"/>
      </rPr>
      <t>备注</t>
    </r>
  </si>
  <si>
    <r>
      <rPr>
        <sz val="12"/>
        <rFont val="宋体"/>
        <family val="3"/>
        <charset val="134"/>
      </rPr>
      <t>截水沟</t>
    </r>
  </si>
  <si>
    <r>
      <rPr>
        <sz val="12"/>
        <rFont val="宋体"/>
        <family val="3"/>
        <charset val="134"/>
      </rPr>
      <t>铸铁雨水篦</t>
    </r>
    <phoneticPr fontId="6" type="noConversion"/>
  </si>
  <si>
    <r>
      <rPr>
        <sz val="12"/>
        <rFont val="宋体"/>
        <family val="3"/>
        <charset val="134"/>
      </rPr>
      <t>（座）</t>
    </r>
  </si>
  <si>
    <r>
      <rPr>
        <sz val="12"/>
        <rFont val="宋体"/>
        <family val="3"/>
        <charset val="134"/>
      </rPr>
      <t>（立方米）</t>
    </r>
  </si>
  <si>
    <r>
      <rPr>
        <sz val="12"/>
        <rFont val="宋体"/>
        <family val="3"/>
        <charset val="134"/>
      </rPr>
      <t>（千克）</t>
    </r>
  </si>
  <si>
    <r>
      <rPr>
        <sz val="12"/>
        <rFont val="宋体"/>
        <family val="3"/>
        <charset val="134"/>
      </rPr>
      <t>（平方米）</t>
    </r>
  </si>
  <si>
    <r>
      <rPr>
        <sz val="12"/>
        <rFont val="宋体"/>
        <family val="3"/>
        <charset val="134"/>
      </rPr>
      <t>（套）</t>
    </r>
  </si>
  <si>
    <t>.</t>
    <phoneticPr fontId="6" type="noConversion"/>
  </si>
  <si>
    <r>
      <rPr>
        <sz val="24"/>
        <rFont val="宋体"/>
        <family val="3"/>
        <charset val="134"/>
      </rPr>
      <t>土方</t>
    </r>
  </si>
  <si>
    <t>圆形钢筋砼检查井（有地下水）</t>
    <phoneticPr fontId="6" type="noConversion"/>
  </si>
  <si>
    <t>矩形钢筋砼检查井（有地下水）</t>
    <phoneticPr fontId="6" type="noConversion"/>
  </si>
  <si>
    <t>工程名称：</t>
    <phoneticPr fontId="6" type="noConversion"/>
  </si>
  <si>
    <t>合计</t>
    <phoneticPr fontId="6" type="noConversion"/>
  </si>
  <si>
    <t>矩形钢筋砼检查井</t>
    <phoneticPr fontId="6" type="noConversion"/>
  </si>
  <si>
    <t>其他</t>
    <phoneticPr fontId="6" type="noConversion"/>
  </si>
  <si>
    <t>箱涵井筒式检查井</t>
    <phoneticPr fontId="6" type="noConversion"/>
  </si>
  <si>
    <r>
      <t>Φ</t>
    </r>
    <r>
      <rPr>
        <sz val="12"/>
        <rFont val="宋体"/>
        <family val="1"/>
        <charset val="134"/>
      </rPr>
      <t>700</t>
    </r>
    <phoneticPr fontId="6" type="noConversion"/>
  </si>
  <si>
    <t>总计</t>
    <phoneticPr fontId="6" type="noConversion"/>
  </si>
  <si>
    <r>
      <t>C20</t>
    </r>
    <r>
      <rPr>
        <sz val="10"/>
        <rFont val="宋体"/>
        <family val="3"/>
        <charset val="134"/>
      </rPr>
      <t>砼垫层</t>
    </r>
    <phoneticPr fontId="6" type="noConversion"/>
  </si>
  <si>
    <t>井背回填C20低标号混凝土</t>
    <phoneticPr fontId="6" type="noConversion"/>
  </si>
  <si>
    <r>
      <t>C20</t>
    </r>
    <r>
      <rPr>
        <sz val="12"/>
        <rFont val="宋体"/>
        <family val="3"/>
        <charset val="134"/>
      </rPr>
      <t>低标号混凝土</t>
    </r>
    <phoneticPr fontId="6" type="noConversion"/>
  </si>
  <si>
    <r>
      <t>m</t>
    </r>
    <r>
      <rPr>
        <vertAlign val="superscript"/>
        <sz val="11"/>
        <rFont val="宋体"/>
        <family val="3"/>
        <charset val="134"/>
      </rPr>
      <t>2</t>
    </r>
    <phoneticPr fontId="6" type="noConversion"/>
  </si>
  <si>
    <t>9、土工格栅</t>
    <phoneticPr fontId="6" type="noConversion"/>
  </si>
  <si>
    <r>
      <t>m</t>
    </r>
    <r>
      <rPr>
        <vertAlign val="superscript"/>
        <sz val="12"/>
        <rFont val="宋体"/>
        <family val="3"/>
        <charset val="134"/>
      </rPr>
      <t>3</t>
    </r>
    <phoneticPr fontId="6" type="noConversion"/>
  </si>
  <si>
    <t>7、回填碎石</t>
    <phoneticPr fontId="6" type="noConversion"/>
  </si>
  <si>
    <t>6、基础级配碎石</t>
    <phoneticPr fontId="6" type="noConversion"/>
  </si>
  <si>
    <t>5、垫层级配碎石量</t>
    <phoneticPr fontId="6" type="noConversion"/>
  </si>
  <si>
    <t>路基回填土</t>
    <phoneticPr fontId="6" type="noConversion"/>
  </si>
  <si>
    <t>Ⅵ类</t>
    <phoneticPr fontId="6" type="noConversion"/>
  </si>
  <si>
    <t>Ⅲ类</t>
  </si>
  <si>
    <t>Ⅱ类</t>
    <phoneticPr fontId="6" type="noConversion"/>
  </si>
  <si>
    <t>4、弃方</t>
    <phoneticPr fontId="6" type="noConversion"/>
  </si>
  <si>
    <t>3、回填土方</t>
    <phoneticPr fontId="6" type="noConversion"/>
  </si>
  <si>
    <t>Ⅲ类</t>
    <phoneticPr fontId="6" type="noConversion"/>
  </si>
  <si>
    <t>2、挖方利用回填</t>
    <phoneticPr fontId="6" type="noConversion"/>
  </si>
  <si>
    <t>土方</t>
    <phoneticPr fontId="6" type="noConversion"/>
  </si>
  <si>
    <t>1、挖方</t>
    <phoneticPr fontId="6" type="noConversion"/>
  </si>
  <si>
    <t>钢筋砼II级承插口管</t>
    <phoneticPr fontId="6" type="noConversion"/>
  </si>
  <si>
    <t>雨水管</t>
    <phoneticPr fontId="6" type="noConversion"/>
  </si>
  <si>
    <t>污水管</t>
    <phoneticPr fontId="6" type="noConversion"/>
  </si>
  <si>
    <t>(m2)</t>
    <phoneticPr fontId="6" type="noConversion"/>
  </si>
  <si>
    <r>
      <t>（m</t>
    </r>
    <r>
      <rPr>
        <vertAlign val="superscript"/>
        <sz val="12"/>
        <rFont val="宋体"/>
        <family val="3"/>
        <charset val="134"/>
      </rPr>
      <t>3</t>
    </r>
    <r>
      <rPr>
        <sz val="12"/>
        <rFont val="宋体"/>
        <family val="3"/>
        <charset val="134"/>
      </rPr>
      <t>）</t>
    </r>
    <phoneticPr fontId="6" type="noConversion"/>
  </si>
  <si>
    <r>
      <t>（m</t>
    </r>
    <r>
      <rPr>
        <vertAlign val="superscript"/>
        <sz val="12"/>
        <rFont val="宋体"/>
        <family val="3"/>
        <charset val="134"/>
      </rPr>
      <t>2</t>
    </r>
    <r>
      <rPr>
        <sz val="12"/>
        <rFont val="宋体"/>
        <family val="3"/>
        <charset val="134"/>
      </rPr>
      <t>）</t>
    </r>
    <phoneticPr fontId="6" type="noConversion"/>
  </si>
  <si>
    <r>
      <t>（</t>
    </r>
    <r>
      <rPr>
        <sz val="12"/>
        <rFont val="Times New Roman"/>
        <family val="1"/>
      </rPr>
      <t>m</t>
    </r>
    <r>
      <rPr>
        <sz val="12"/>
        <rFont val="宋体"/>
        <family val="3"/>
        <charset val="134"/>
      </rPr>
      <t>）</t>
    </r>
    <phoneticPr fontId="6" type="noConversion"/>
  </si>
  <si>
    <t>（m）</t>
    <phoneticPr fontId="6" type="noConversion"/>
  </si>
  <si>
    <t>回填砂砾石</t>
    <phoneticPr fontId="6" type="noConversion"/>
  </si>
  <si>
    <t>回填土</t>
    <phoneticPr fontId="6" type="noConversion"/>
  </si>
  <si>
    <t>总挖方量</t>
    <phoneticPr fontId="6" type="noConversion"/>
  </si>
  <si>
    <t>砼基础高度C2</t>
    <phoneticPr fontId="6" type="noConversion"/>
  </si>
  <si>
    <t>砼基础高度C1</t>
    <phoneticPr fontId="6" type="noConversion"/>
  </si>
  <si>
    <t>砼基础宽度B</t>
    <phoneticPr fontId="6" type="noConversion"/>
  </si>
  <si>
    <t>d1000换填砂砾石量</t>
    <phoneticPr fontId="6" type="noConversion"/>
  </si>
  <si>
    <t>d1000基础砂石量</t>
  </si>
  <si>
    <t>d400换填砂砾石量</t>
    <phoneticPr fontId="6" type="noConversion"/>
  </si>
  <si>
    <t>d400基础砂石量</t>
  </si>
  <si>
    <t>回填砂砾石计算底宽</t>
    <phoneticPr fontId="6" type="noConversion"/>
  </si>
  <si>
    <t>回填砂砾石计算高度</t>
    <phoneticPr fontId="6" type="noConversion"/>
  </si>
  <si>
    <t>管道占的面积</t>
    <phoneticPr fontId="6" type="noConversion"/>
  </si>
  <si>
    <t>回填中粗砂计算高度</t>
    <phoneticPr fontId="6" type="noConversion"/>
  </si>
  <si>
    <t>回填中粗砂计算底宽</t>
    <phoneticPr fontId="6" type="noConversion"/>
  </si>
  <si>
    <t>备注</t>
    <phoneticPr fontId="6" type="noConversion"/>
  </si>
  <si>
    <t>弃土方</t>
    <phoneticPr fontId="6" type="noConversion"/>
  </si>
  <si>
    <t>填方</t>
    <phoneticPr fontId="6" type="noConversion"/>
  </si>
  <si>
    <t>挖方</t>
    <phoneticPr fontId="6" type="noConversion"/>
  </si>
  <si>
    <t>土工格栅</t>
    <phoneticPr fontId="6" type="noConversion"/>
  </si>
  <si>
    <t>平均挖深</t>
    <phoneticPr fontId="6" type="noConversion"/>
  </si>
  <si>
    <t>路槽深度</t>
    <phoneticPr fontId="6" type="noConversion"/>
  </si>
  <si>
    <t xml:space="preserve">平均埋深h         </t>
    <phoneticPr fontId="6" type="noConversion"/>
  </si>
  <si>
    <t>C25砼基础</t>
    <phoneticPr fontId="6" type="noConversion"/>
  </si>
  <si>
    <t>换填级配碎石量</t>
    <phoneticPr fontId="6" type="noConversion"/>
  </si>
  <si>
    <t>换填级配碎石厚度</t>
    <phoneticPr fontId="6" type="noConversion"/>
  </si>
  <si>
    <t>垫层砂砾石量</t>
    <phoneticPr fontId="6" type="noConversion"/>
  </si>
  <si>
    <t>砂砾石
垫层厚度</t>
    <phoneticPr fontId="6" type="noConversion"/>
  </si>
  <si>
    <t>管长</t>
    <phoneticPr fontId="6" type="noConversion"/>
  </si>
  <si>
    <t>边坡系数</t>
    <phoneticPr fontId="6" type="noConversion"/>
  </si>
  <si>
    <t>工作面a</t>
    <phoneticPr fontId="6" type="noConversion"/>
  </si>
  <si>
    <t>混凝土基础断面</t>
    <phoneticPr fontId="6" type="noConversion"/>
  </si>
  <si>
    <t>沟槽底宽(mm)</t>
    <phoneticPr fontId="6" type="noConversion"/>
  </si>
  <si>
    <t>壁厚t(mm)</t>
    <phoneticPr fontId="6" type="noConversion"/>
  </si>
  <si>
    <t>管径（mm）</t>
    <phoneticPr fontId="6" type="noConversion"/>
  </si>
  <si>
    <t>管径</t>
    <phoneticPr fontId="6" type="noConversion"/>
  </si>
  <si>
    <t>工程名称</t>
    <phoneticPr fontId="6" type="noConversion"/>
  </si>
  <si>
    <t>管段桩号</t>
    <phoneticPr fontId="6" type="noConversion"/>
  </si>
  <si>
    <t>第4页，共8页</t>
    <phoneticPr fontId="6" type="noConversion"/>
  </si>
  <si>
    <t>（雨、污水管）</t>
    <phoneticPr fontId="6" type="noConversion"/>
  </si>
  <si>
    <t>排水工程数量表</t>
    <phoneticPr fontId="6" type="noConversion"/>
  </si>
  <si>
    <r>
      <t>d2600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3400x1100</t>
    </r>
    <r>
      <rPr>
        <sz val="12"/>
        <rFont val="宋体"/>
        <family val="3"/>
        <charset val="134"/>
      </rPr>
      <t>）</t>
    </r>
    <phoneticPr fontId="2" type="noConversion"/>
  </si>
  <si>
    <t>块</t>
    <phoneticPr fontId="6" type="noConversion"/>
  </si>
  <si>
    <t>个</t>
    <phoneticPr fontId="6" type="noConversion"/>
  </si>
  <si>
    <r>
      <t>2</t>
    </r>
    <r>
      <rPr>
        <sz val="24"/>
        <rFont val="宋体"/>
        <family val="3"/>
        <charset val="134"/>
      </rPr>
      <t>、利用机制砂回填</t>
    </r>
    <phoneticPr fontId="6" type="noConversion"/>
  </si>
  <si>
    <t>机制砂</t>
    <phoneticPr fontId="6" type="noConversion"/>
  </si>
  <si>
    <r>
      <t>4</t>
    </r>
    <r>
      <rPr>
        <sz val="24"/>
        <rFont val="宋体"/>
        <family val="3"/>
        <charset val="134"/>
      </rPr>
      <t>、垫层机制砂</t>
    </r>
    <phoneticPr fontId="6" type="noConversion"/>
  </si>
  <si>
    <r>
      <t>5</t>
    </r>
    <r>
      <rPr>
        <sz val="24"/>
        <rFont val="宋体"/>
        <family val="3"/>
        <charset val="134"/>
      </rPr>
      <t>、基础机制砂</t>
    </r>
    <phoneticPr fontId="6" type="noConversion"/>
  </si>
  <si>
    <r>
      <t>6</t>
    </r>
    <r>
      <rPr>
        <sz val="24"/>
        <rFont val="宋体"/>
        <family val="3"/>
        <charset val="134"/>
      </rPr>
      <t>、回填机制砂</t>
    </r>
    <phoneticPr fontId="6" type="noConversion"/>
  </si>
  <si>
    <t>垫层机制砂量</t>
    <phoneticPr fontId="6" type="noConversion"/>
  </si>
  <si>
    <t>利用机制砂回填</t>
    <phoneticPr fontId="6" type="noConversion"/>
  </si>
  <si>
    <t>机制砂基础</t>
    <phoneticPr fontId="6" type="noConversion"/>
  </si>
  <si>
    <t>回填机制砂</t>
    <phoneticPr fontId="6" type="noConversion"/>
  </si>
  <si>
    <t>沟槽回填机制砂</t>
    <phoneticPr fontId="6" type="noConversion"/>
  </si>
  <si>
    <r>
      <t>备注：1、预制钢筋砼雨水口YQ5构造详见图集16S518，页49，单块雨水口包含C30混凝土0.147m³，</t>
    </r>
    <r>
      <rPr>
        <sz val="12"/>
        <rFont val="Calibri"/>
        <family val="1"/>
        <charset val="204"/>
      </rPr>
      <t>Ф</t>
    </r>
    <r>
      <rPr>
        <sz val="12"/>
        <rFont val="宋体"/>
        <family val="1"/>
        <charset val="134"/>
      </rPr>
      <t>8钢筋13.45kg；
2、预制钢筋砼雨水口YQ6构造详见图集16S518，页50，单块雨水口包含C30混凝土0.157m³，</t>
    </r>
    <r>
      <rPr>
        <sz val="12"/>
        <rFont val="Calibri"/>
        <family val="1"/>
        <charset val="204"/>
      </rPr>
      <t>Ф</t>
    </r>
    <r>
      <rPr>
        <sz val="12"/>
        <rFont val="宋体"/>
        <family val="1"/>
        <charset val="134"/>
      </rPr>
      <t>8钢筋12.81kg；
3、预制钢筋砼雨水口YQ8构造详见图集16S518，页52，单块雨水口包含C30混凝土0.150m³，</t>
    </r>
    <r>
      <rPr>
        <sz val="12"/>
        <rFont val="Calibri"/>
        <family val="1"/>
        <charset val="204"/>
      </rPr>
      <t>Ф</t>
    </r>
    <r>
      <rPr>
        <sz val="12"/>
        <rFont val="宋体"/>
        <family val="1"/>
        <charset val="134"/>
      </rPr>
      <t xml:space="preserve">8钢筋12.88kg；
4、球墨铸铁支座构造详见图集16S518，页57；5、球墨铸铁篦子构造详见图集16S518，页55.
</t>
    </r>
    <phoneticPr fontId="6" type="noConversion"/>
  </si>
  <si>
    <r>
      <t>备注：1、预制钢筋砼雨水口YQ5构造详见图集16S518，页49，单块雨水口包含C30混凝土0.147m³，</t>
    </r>
    <r>
      <rPr>
        <sz val="12"/>
        <rFont val="Calibri"/>
        <family val="1"/>
        <charset val="204"/>
      </rPr>
      <t>Ф</t>
    </r>
    <r>
      <rPr>
        <sz val="12"/>
        <rFont val="宋体"/>
        <family val="1"/>
        <charset val="134"/>
      </rPr>
      <t>8钢筋13.45kg；
2、预制钢筋砼雨水口YQ6构造详见图集16S518，页50，单块雨水口包含C30混凝土0.157m³，</t>
    </r>
    <r>
      <rPr>
        <sz val="12"/>
        <rFont val="Calibri"/>
        <family val="1"/>
        <charset val="204"/>
      </rPr>
      <t>Ф</t>
    </r>
    <r>
      <rPr>
        <sz val="12"/>
        <rFont val="宋体"/>
        <family val="1"/>
        <charset val="134"/>
      </rPr>
      <t xml:space="preserve">8钢筋12.81kg；
3、球墨铸铁支座构造详见图集16S518，页57；4、球墨铸铁篦子构造详见图集16S518，页55.
</t>
    </r>
    <phoneticPr fontId="6" type="noConversion"/>
  </si>
  <si>
    <t>立方米</t>
    <phoneticPr fontId="6" type="noConversion"/>
  </si>
  <si>
    <t>平方米</t>
    <phoneticPr fontId="6" type="noConversion"/>
  </si>
  <si>
    <t>立方米</t>
  </si>
  <si>
    <r>
      <t>C20</t>
    </r>
    <r>
      <rPr>
        <sz val="12"/>
        <rFont val="宋体"/>
        <family val="1"/>
        <charset val="134"/>
      </rPr>
      <t>井背回填</t>
    </r>
    <phoneticPr fontId="6" type="noConversion"/>
  </si>
  <si>
    <r>
      <t>M10</t>
    </r>
    <r>
      <rPr>
        <sz val="12"/>
        <rFont val="宋体"/>
        <family val="1"/>
        <charset val="134"/>
      </rPr>
      <t>水泥砂浆（</t>
    </r>
    <r>
      <rPr>
        <sz val="12"/>
        <rFont val="Times New Roman"/>
        <family val="1"/>
      </rPr>
      <t>10mm</t>
    </r>
    <r>
      <rPr>
        <sz val="12"/>
        <rFont val="宋体"/>
        <family val="1"/>
        <charset val="134"/>
      </rPr>
      <t>）</t>
    </r>
    <phoneticPr fontId="6" type="noConversion"/>
  </si>
  <si>
    <r>
      <t>M10</t>
    </r>
    <r>
      <rPr>
        <sz val="12"/>
        <rFont val="宋体"/>
        <family val="1"/>
        <charset val="134"/>
      </rPr>
      <t>水泥砂浆灌缝
（20</t>
    </r>
    <r>
      <rPr>
        <sz val="12"/>
        <rFont val="Times New Roman"/>
        <family val="1"/>
      </rPr>
      <t>mm</t>
    </r>
    <r>
      <rPr>
        <sz val="12"/>
        <rFont val="宋体"/>
        <family val="1"/>
        <charset val="134"/>
      </rPr>
      <t>）</t>
    </r>
    <phoneticPr fontId="6" type="noConversion"/>
  </si>
  <si>
    <t>球墨铸铁篦子
750×450×55</t>
    <phoneticPr fontId="6" type="noConversion"/>
  </si>
  <si>
    <t>球墨铸铁支座
872×573×40</t>
    <phoneticPr fontId="6" type="noConversion"/>
  </si>
  <si>
    <r>
      <rPr>
        <sz val="12"/>
        <rFont val="宋体"/>
        <family val="1"/>
        <charset val="134"/>
      </rPr>
      <t>预制钢筋砼雨水口</t>
    </r>
    <r>
      <rPr>
        <sz val="12"/>
        <rFont val="Times New Roman"/>
        <family val="1"/>
      </rPr>
      <t>YQ8</t>
    </r>
    <phoneticPr fontId="6" type="noConversion"/>
  </si>
  <si>
    <r>
      <rPr>
        <sz val="12"/>
        <rFont val="宋体"/>
        <family val="1"/>
        <charset val="134"/>
      </rPr>
      <t>预制钢筋砼雨水口</t>
    </r>
    <r>
      <rPr>
        <sz val="12"/>
        <rFont val="Times New Roman"/>
        <family val="1"/>
      </rPr>
      <t>YQ6</t>
    </r>
    <phoneticPr fontId="6" type="noConversion"/>
  </si>
  <si>
    <r>
      <rPr>
        <sz val="12"/>
        <rFont val="宋体"/>
        <family val="1"/>
        <charset val="134"/>
      </rPr>
      <t>预制钢筋砼雨水口</t>
    </r>
    <r>
      <rPr>
        <sz val="12"/>
        <rFont val="Times New Roman"/>
        <family val="1"/>
      </rPr>
      <t>YQ5</t>
    </r>
    <phoneticPr fontId="6" type="noConversion"/>
  </si>
  <si>
    <r>
      <rPr>
        <sz val="12"/>
        <rFont val="宋体"/>
        <family val="1"/>
        <charset val="134"/>
      </rPr>
      <t>垫层</t>
    </r>
    <r>
      <rPr>
        <sz val="12"/>
        <rFont val="Times New Roman"/>
        <family val="1"/>
      </rPr>
      <t>C20</t>
    </r>
    <r>
      <rPr>
        <sz val="12"/>
        <rFont val="宋体"/>
        <family val="1"/>
        <charset val="134"/>
      </rPr>
      <t>细石混凝土</t>
    </r>
    <phoneticPr fontId="6" type="noConversion"/>
  </si>
  <si>
    <t>底板C20混凝土</t>
    <phoneticPr fontId="6" type="noConversion"/>
  </si>
  <si>
    <r>
      <rPr>
        <sz val="12"/>
        <rFont val="Times New Roman"/>
        <family val="1"/>
      </rPr>
      <t>M10</t>
    </r>
    <r>
      <rPr>
        <sz val="12"/>
        <rFont val="宋体"/>
        <family val="1"/>
        <charset val="134"/>
      </rPr>
      <t>水泥砂浆（10</t>
    </r>
    <r>
      <rPr>
        <sz val="12"/>
        <rFont val="Times New Roman"/>
        <family val="1"/>
      </rPr>
      <t>mm</t>
    </r>
    <r>
      <rPr>
        <sz val="12"/>
        <rFont val="宋体"/>
        <family val="1"/>
        <charset val="134"/>
      </rPr>
      <t>）</t>
    </r>
    <phoneticPr fontId="6" type="noConversion"/>
  </si>
  <si>
    <r>
      <rPr>
        <sz val="12"/>
        <rFont val="宋体"/>
        <family val="1"/>
        <charset val="134"/>
      </rPr>
      <t>雨水口参照16</t>
    </r>
    <r>
      <rPr>
        <sz val="12"/>
        <rFont val="Times New Roman"/>
        <family val="1"/>
      </rPr>
      <t>S518</t>
    </r>
    <r>
      <rPr>
        <sz val="12"/>
        <rFont val="宋体"/>
        <family val="1"/>
        <charset val="134"/>
      </rPr>
      <t>，页44</t>
    </r>
    <phoneticPr fontId="6" type="noConversion"/>
  </si>
  <si>
    <t>四篦雨水口</t>
    <phoneticPr fontId="6" type="noConversion"/>
  </si>
  <si>
    <r>
      <rPr>
        <sz val="12"/>
        <rFont val="宋体"/>
        <family val="1"/>
        <charset val="134"/>
      </rPr>
      <t>雨水口参照16</t>
    </r>
    <r>
      <rPr>
        <sz val="12"/>
        <rFont val="Times New Roman"/>
        <family val="1"/>
      </rPr>
      <t>S518</t>
    </r>
    <r>
      <rPr>
        <sz val="12"/>
        <rFont val="宋体"/>
        <family val="1"/>
        <charset val="134"/>
      </rPr>
      <t>，页43</t>
    </r>
    <phoneticPr fontId="6" type="noConversion"/>
  </si>
  <si>
    <t>双篦雨水口</t>
    <phoneticPr fontId="6" type="noConversion"/>
  </si>
  <si>
    <t>YQ8</t>
    <phoneticPr fontId="6" type="noConversion"/>
  </si>
  <si>
    <t>YQ7</t>
  </si>
  <si>
    <t>YQ6</t>
  </si>
  <si>
    <t>YQ5</t>
  </si>
  <si>
    <t>YQ4</t>
  </si>
  <si>
    <t>YQ3</t>
  </si>
  <si>
    <t>YQ2</t>
  </si>
  <si>
    <t>YQ1</t>
    <phoneticPr fontId="6" type="noConversion"/>
  </si>
  <si>
    <t>球墨铸铁雨水口篦子
750×450×55</t>
    <phoneticPr fontId="6" type="noConversion"/>
  </si>
  <si>
    <t>球墨铸铁支座
872×573×4</t>
    <phoneticPr fontId="6" type="noConversion"/>
  </si>
  <si>
    <t>砂浆
（10mm）</t>
    <phoneticPr fontId="6" type="noConversion"/>
  </si>
  <si>
    <t>砂浆灌缝
（20mm）</t>
    <phoneticPr fontId="6" type="noConversion"/>
  </si>
  <si>
    <r>
      <t>Ф</t>
    </r>
    <r>
      <rPr>
        <sz val="12"/>
        <rFont val="宋体"/>
        <family val="1"/>
        <charset val="134"/>
      </rPr>
      <t>8</t>
    </r>
    <phoneticPr fontId="6" type="noConversion"/>
  </si>
  <si>
    <t>井身</t>
    <phoneticPr fontId="6" type="noConversion"/>
  </si>
  <si>
    <t>井身钢筋</t>
    <phoneticPr fontId="6" type="noConversion"/>
  </si>
  <si>
    <r>
      <rPr>
        <sz val="12"/>
        <rFont val="宋体"/>
        <family val="3"/>
        <charset val="134"/>
      </rPr>
      <t>预制</t>
    </r>
    <r>
      <rPr>
        <sz val="12"/>
        <rFont val="Times New Roman"/>
        <family val="1"/>
      </rPr>
      <t>C30</t>
    </r>
    <r>
      <rPr>
        <sz val="12"/>
        <rFont val="宋体"/>
        <family val="3"/>
        <charset val="134"/>
      </rPr>
      <t>混凝土</t>
    </r>
    <phoneticPr fontId="6" type="noConversion"/>
  </si>
  <si>
    <t>C20细石混凝土垫层</t>
    <phoneticPr fontId="6" type="noConversion"/>
  </si>
  <si>
    <t>C20混凝土底板</t>
    <phoneticPr fontId="6" type="noConversion"/>
  </si>
  <si>
    <t>泥岩</t>
    <phoneticPr fontId="6" type="noConversion"/>
  </si>
  <si>
    <t>泥岩</t>
    <phoneticPr fontId="6" type="noConversion"/>
  </si>
  <si>
    <t>排水工程数量表（人民路）</t>
    <phoneticPr fontId="6" type="noConversion"/>
  </si>
  <si>
    <t>（雨水砼检查井）</t>
    <phoneticPr fontId="6" type="noConversion"/>
  </si>
  <si>
    <t>矩形三通钢筋砼检查井</t>
  </si>
  <si>
    <r>
      <t>d1000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1400×1100</t>
    </r>
    <r>
      <rPr>
        <sz val="12"/>
        <rFont val="宋体"/>
        <family val="3"/>
        <charset val="134"/>
      </rPr>
      <t>）</t>
    </r>
    <phoneticPr fontId="2" type="noConversion"/>
  </si>
  <si>
    <r>
      <t>d1200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1700×1100</t>
    </r>
    <r>
      <rPr>
        <sz val="12"/>
        <rFont val="宋体"/>
        <family val="3"/>
        <charset val="134"/>
      </rPr>
      <t>）</t>
    </r>
    <phoneticPr fontId="2" type="noConversion"/>
  </si>
  <si>
    <r>
      <t>d1350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1900×1100</t>
    </r>
    <r>
      <rPr>
        <sz val="12"/>
        <rFont val="宋体"/>
        <family val="3"/>
        <charset val="134"/>
      </rPr>
      <t>）</t>
    </r>
    <phoneticPr fontId="2" type="noConversion"/>
  </si>
  <si>
    <r>
      <t>d1500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2200×1100</t>
    </r>
    <r>
      <rPr>
        <sz val="12"/>
        <rFont val="宋体"/>
        <family val="3"/>
        <charset val="134"/>
      </rPr>
      <t>）</t>
    </r>
    <phoneticPr fontId="2" type="noConversion"/>
  </si>
  <si>
    <r>
      <t>d1800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2400×1100</t>
    </r>
    <r>
      <rPr>
        <sz val="12"/>
        <rFont val="宋体"/>
        <family val="3"/>
        <charset val="134"/>
      </rPr>
      <t>）</t>
    </r>
    <phoneticPr fontId="2" type="noConversion"/>
  </si>
  <si>
    <r>
      <t>d2000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2600×1100</t>
    </r>
    <r>
      <rPr>
        <sz val="12"/>
        <rFont val="宋体"/>
        <family val="3"/>
        <charset val="134"/>
      </rPr>
      <t>）</t>
    </r>
    <phoneticPr fontId="2" type="noConversion"/>
  </si>
  <si>
    <t>（排水工程量总表）</t>
    <phoneticPr fontId="6" type="noConversion"/>
  </si>
  <si>
    <t>（雨水管）</t>
    <phoneticPr fontId="6" type="noConversion"/>
  </si>
  <si>
    <t>（进水井）</t>
    <phoneticPr fontId="6" type="noConversion"/>
  </si>
  <si>
    <t>第4页，共5页</t>
    <phoneticPr fontId="2" type="noConversion"/>
  </si>
  <si>
    <t>第5页，共5页</t>
    <phoneticPr fontId="2" type="noConversion"/>
  </si>
  <si>
    <t>m</t>
    <phoneticPr fontId="6" type="noConversion"/>
  </si>
  <si>
    <t>连接雨水口</t>
    <phoneticPr fontId="6" type="noConversion"/>
  </si>
  <si>
    <t>砼路面破除及恢复</t>
    <phoneticPr fontId="6" type="noConversion"/>
  </si>
  <si>
    <t>m²</t>
    <phoneticPr fontId="6" type="noConversion"/>
  </si>
  <si>
    <t>24cm水泥混凝土+18cm厚6%水泥稳定碎石+18cm厚4%水泥稳定碎石</t>
    <phoneticPr fontId="6" type="noConversion"/>
  </si>
  <si>
    <t>180°机制砂基础</t>
    <phoneticPr fontId="6" type="noConversion"/>
  </si>
  <si>
    <t>25#工字钢</t>
    <phoneticPr fontId="6" type="noConversion"/>
  </si>
  <si>
    <t>t</t>
    <phoneticPr fontId="6" type="noConversion"/>
  </si>
  <si>
    <t>20S515,页39</t>
    <phoneticPr fontId="6" type="noConversion"/>
  </si>
  <si>
    <t>Φ16钢丝绳</t>
    <phoneticPr fontId="6" type="noConversion"/>
  </si>
  <si>
    <t>根</t>
    <phoneticPr fontId="6" type="noConversion"/>
  </si>
  <si>
    <t>d1000管（1400×1200）钢筋砼检查井</t>
    <phoneticPr fontId="6" type="noConversion"/>
  </si>
  <si>
    <t>d1200管（1700×1200）钢筋砼检查井</t>
    <phoneticPr fontId="6" type="noConversion"/>
  </si>
  <si>
    <t>d1350管（1900×1200）钢筋砼检查井</t>
    <phoneticPr fontId="6" type="noConversion"/>
  </si>
  <si>
    <t>d1500管（2200×1200）钢筋砼检查井</t>
    <phoneticPr fontId="6" type="noConversion"/>
  </si>
  <si>
    <t>d1800管（2400×1200）钢筋砼检查井</t>
    <phoneticPr fontId="6" type="noConversion"/>
  </si>
  <si>
    <t>d2000管（2600×1200）钢筋砼检查井</t>
    <phoneticPr fontId="6" type="noConversion"/>
  </si>
  <si>
    <t>d1000管（1700x1700）钢筋砼三通井</t>
    <phoneticPr fontId="6" type="noConversion"/>
  </si>
  <si>
    <t>20S515,页59</t>
    <phoneticPr fontId="6" type="noConversion"/>
  </si>
  <si>
    <t>d1200管（2100x2100）钢筋砼三通井</t>
    <phoneticPr fontId="6" type="noConversion"/>
  </si>
  <si>
    <t>d1500管（2700x2700）钢筋砼三通井</t>
    <phoneticPr fontId="6" type="noConversion"/>
  </si>
  <si>
    <t>d2000管（3300x3300）钢筋砼三通井</t>
    <phoneticPr fontId="6" type="noConversion"/>
  </si>
  <si>
    <t>施工围挡</t>
    <phoneticPr fontId="6" type="noConversion"/>
  </si>
  <si>
    <t>工程名称：福利镇福利村委、务溪村委人居环境整治项目</t>
    <phoneticPr fontId="6" type="noConversion"/>
  </si>
  <si>
    <t>4号路、10号路现状污水水管破除</t>
    <phoneticPr fontId="6" type="noConversion"/>
  </si>
  <si>
    <r>
      <rPr>
        <sz val="12"/>
        <rFont val="宋体"/>
        <family val="3"/>
        <charset val="134"/>
      </rPr>
      <t xml:space="preserve">第 </t>
    </r>
    <r>
      <rPr>
        <sz val="12"/>
        <rFont val="Times New Roman"/>
        <family val="1"/>
      </rPr>
      <t xml:space="preserve">1 </t>
    </r>
    <r>
      <rPr>
        <sz val="12"/>
        <rFont val="宋体"/>
        <family val="3"/>
        <charset val="134"/>
      </rPr>
      <t>页，共 3 页</t>
    </r>
    <phoneticPr fontId="6" type="noConversion"/>
  </si>
  <si>
    <r>
      <rPr>
        <sz val="24"/>
        <rFont val="宋体"/>
        <family val="3"/>
        <charset val="134"/>
      </rPr>
      <t xml:space="preserve">第 </t>
    </r>
    <r>
      <rPr>
        <sz val="24"/>
        <rFont val="Times New Roman"/>
        <family val="1"/>
      </rPr>
      <t xml:space="preserve">2 </t>
    </r>
    <r>
      <rPr>
        <sz val="24"/>
        <rFont val="宋体"/>
        <family val="3"/>
        <charset val="134"/>
      </rPr>
      <t>页，共 3 页</t>
    </r>
    <phoneticPr fontId="6" type="noConversion"/>
  </si>
  <si>
    <t>第 3 页，共 3 页</t>
    <phoneticPr fontId="2" type="noConversion"/>
  </si>
  <si>
    <t>污水工程</t>
    <phoneticPr fontId="6" type="noConversion"/>
  </si>
  <si>
    <t>座</t>
  </si>
  <si>
    <t>现状雨水口拆除</t>
  </si>
  <si>
    <t>砖砌双箅雨水口</t>
    <phoneticPr fontId="6" type="noConversion"/>
  </si>
  <si>
    <t>双篦雨水口</t>
  </si>
  <si>
    <t>16S518，页43</t>
    <phoneticPr fontId="6" type="noConversion"/>
  </si>
  <si>
    <r>
      <t>d800</t>
    </r>
    <r>
      <rPr>
        <sz val="12"/>
        <rFont val="宋体"/>
        <family val="3"/>
        <charset val="134"/>
      </rPr>
      <t>管（</t>
    </r>
    <r>
      <rPr>
        <sz val="12"/>
        <rFont val="Times New Roman"/>
        <family val="1"/>
      </rPr>
      <t>1200×1100</t>
    </r>
    <r>
      <rPr>
        <sz val="12"/>
        <rFont val="宋体"/>
        <family val="3"/>
        <charset val="134"/>
      </rPr>
      <t>）</t>
    </r>
    <phoneticPr fontId="2" type="noConversion"/>
  </si>
  <si>
    <r>
      <t>现状</t>
    </r>
    <r>
      <rPr>
        <sz val="12"/>
        <rFont val="Calibri"/>
        <family val="3"/>
        <charset val="161"/>
      </rPr>
      <t>Φ</t>
    </r>
    <r>
      <rPr>
        <sz val="12"/>
        <rFont val="宋体"/>
        <family val="3"/>
        <charset val="134"/>
        <scheme val="minor"/>
      </rPr>
      <t>1000砼检查井拆除</t>
    </r>
    <phoneticPr fontId="6" type="noConversion"/>
  </si>
  <si>
    <t>d800管（1200×1100）钢筋砼检查井</t>
    <phoneticPr fontId="6" type="noConversion"/>
  </si>
  <si>
    <r>
      <t>d400</t>
    </r>
    <r>
      <rPr>
        <sz val="14"/>
        <color rgb="FFFF0000"/>
        <rFont val="宋体"/>
        <family val="3"/>
        <charset val="134"/>
      </rPr>
      <t>砼全包管</t>
    </r>
    <phoneticPr fontId="6" type="noConversion"/>
  </si>
  <si>
    <t>1号路深1.7+0.15</t>
    <phoneticPr fontId="6" type="noConversion"/>
  </si>
  <si>
    <t>11号路深1.05+0.15</t>
    <phoneticPr fontId="6" type="noConversion"/>
  </si>
  <si>
    <t>钢板桩破除路面面积:1.48+（横撑200+桩身截面宽度340）*2</t>
    <phoneticPr fontId="6" type="noConversion"/>
  </si>
  <si>
    <t>20S515,页30</t>
    <phoneticPr fontId="6" type="noConversion"/>
  </si>
  <si>
    <r>
      <rPr>
        <sz val="12"/>
        <rFont val="宋体"/>
        <family val="3"/>
        <charset val="134"/>
      </rPr>
      <t>座</t>
    </r>
    <phoneticPr fontId="6" type="noConversion"/>
  </si>
  <si>
    <r>
      <rPr>
        <sz val="12"/>
        <rFont val="宋体"/>
        <family val="3"/>
        <charset val="134"/>
      </rPr>
      <t>防坠网</t>
    </r>
    <phoneticPr fontId="6" type="noConversion"/>
  </si>
  <si>
    <r>
      <rPr>
        <sz val="12"/>
        <rFont val="宋体"/>
        <family val="3"/>
        <charset val="134"/>
      </rPr>
      <t>张</t>
    </r>
    <phoneticPr fontId="6" type="noConversion"/>
  </si>
  <si>
    <r>
      <rPr>
        <sz val="12"/>
        <rFont val="宋体"/>
        <family val="3"/>
        <charset val="134"/>
      </rPr>
      <t>不锈钢螺栓</t>
    </r>
    <phoneticPr fontId="6" type="noConversion"/>
  </si>
  <si>
    <r>
      <rPr>
        <sz val="12"/>
        <rFont val="宋体"/>
        <family val="3"/>
        <charset val="134"/>
      </rPr>
      <t>个</t>
    </r>
    <phoneticPr fontId="6" type="noConversion"/>
  </si>
  <si>
    <r>
      <rPr>
        <sz val="12"/>
        <rFont val="宋体"/>
        <family val="3"/>
        <charset val="134"/>
      </rPr>
      <t>无盖检查井应急安全警示装置</t>
    </r>
    <phoneticPr fontId="6" type="noConversion"/>
  </si>
  <si>
    <r>
      <rPr>
        <sz val="12"/>
        <rFont val="宋体"/>
        <family val="3"/>
        <charset val="134"/>
      </rPr>
      <t>套</t>
    </r>
    <phoneticPr fontId="6" type="noConversion"/>
  </si>
  <si>
    <r>
      <t>d300</t>
    </r>
    <r>
      <rPr>
        <sz val="12"/>
        <rFont val="宋体"/>
        <family val="3"/>
        <charset val="134"/>
      </rPr>
      <t>钢筋砼Ⅱ级承插口管</t>
    </r>
    <phoneticPr fontId="6" type="noConversion"/>
  </si>
  <si>
    <r>
      <t>d800</t>
    </r>
    <r>
      <rPr>
        <sz val="12"/>
        <rFont val="宋体"/>
        <family val="3"/>
        <charset val="134"/>
      </rPr>
      <t>钢筋砼Ⅱ级承插口管</t>
    </r>
    <phoneticPr fontId="6" type="noConversion"/>
  </si>
  <si>
    <r>
      <rPr>
        <sz val="12"/>
        <rFont val="宋体"/>
        <family val="3"/>
        <charset val="134"/>
      </rPr>
      <t>植筋（</t>
    </r>
    <r>
      <rPr>
        <sz val="12"/>
        <rFont val="Calibri"/>
        <family val="3"/>
        <charset val="161"/>
      </rPr>
      <t>Φ</t>
    </r>
    <r>
      <rPr>
        <sz val="12"/>
        <rFont val="宋体"/>
        <family val="3"/>
        <charset val="134"/>
      </rPr>
      <t>14 纵缝拉杆</t>
    </r>
    <r>
      <rPr>
        <sz val="12"/>
        <rFont val="宋体"/>
        <family val="3"/>
        <charset val="134"/>
        <scheme val="minor"/>
      </rPr>
      <t>，单根总长70cm，植筋长</t>
    </r>
    <r>
      <rPr>
        <sz val="12"/>
        <rFont val="宋体"/>
        <family val="3"/>
        <charset val="134"/>
      </rPr>
      <t>35cm）</t>
    </r>
    <r>
      <rPr>
        <sz val="12"/>
        <rFont val="宋体"/>
        <family val="3"/>
        <charset val="134"/>
        <scheme val="minor"/>
      </rPr>
      <t>，涂二遍沥青</t>
    </r>
    <phoneticPr fontId="6" type="noConversion"/>
  </si>
  <si>
    <r>
      <t>d400</t>
    </r>
    <r>
      <rPr>
        <sz val="12"/>
        <color rgb="FFFF0000"/>
        <rFont val="宋体"/>
        <family val="3"/>
        <charset val="134"/>
      </rPr>
      <t>钢筋砼Ⅱ级承插口管</t>
    </r>
    <phoneticPr fontId="6" type="noConversion"/>
  </si>
  <si>
    <r>
      <t>d400管（</t>
    </r>
    <r>
      <rPr>
        <sz val="12"/>
        <color rgb="FFFF0000"/>
        <rFont val="Calibri"/>
        <family val="3"/>
        <charset val="161"/>
      </rPr>
      <t>Φ</t>
    </r>
    <r>
      <rPr>
        <sz val="12"/>
        <color rgb="FFFF0000"/>
        <rFont val="宋体"/>
        <family val="3"/>
        <charset val="134"/>
        <scheme val="minor"/>
      </rPr>
      <t>1000）钢筋砼检查井</t>
    </r>
    <phoneticPr fontId="6" type="noConversion"/>
  </si>
  <si>
    <r>
      <rPr>
        <sz val="12"/>
        <color rgb="FFFF0000"/>
        <rFont val="宋体"/>
        <family val="3"/>
        <charset val="134"/>
      </rPr>
      <t>座</t>
    </r>
    <phoneticPr fontId="6" type="noConversion"/>
  </si>
  <si>
    <t>施工中对现状管线悬吊保护，按25处计算，每处悬吊工字钢长度按8m计，钢丝绳长度按10m计。</t>
    <phoneticPr fontId="6" type="noConversion"/>
  </si>
  <si>
    <t>污水工程</t>
    <phoneticPr fontId="2" type="noConversion"/>
  </si>
  <si>
    <r>
      <t>d400</t>
    </r>
    <r>
      <rPr>
        <sz val="12"/>
        <color rgb="FFFF0000"/>
        <rFont val="宋体"/>
        <family val="3"/>
        <charset val="134"/>
      </rPr>
      <t>管（</t>
    </r>
    <r>
      <rPr>
        <sz val="12"/>
        <color rgb="FFFF0000"/>
        <rFont val="Times New Roman"/>
        <family val="1"/>
      </rPr>
      <t>Φ1000</t>
    </r>
    <r>
      <rPr>
        <sz val="12"/>
        <color rgb="FFFF0000"/>
        <rFont val="宋体"/>
        <family val="3"/>
        <charset val="134"/>
      </rPr>
      <t>）</t>
    </r>
    <phoneticPr fontId="2" type="noConversion"/>
  </si>
  <si>
    <r>
      <t>d300</t>
    </r>
    <r>
      <rPr>
        <sz val="12"/>
        <color rgb="FFFF0000"/>
        <rFont val="宋体"/>
        <family val="3"/>
        <charset val="134"/>
      </rPr>
      <t>管（</t>
    </r>
    <r>
      <rPr>
        <sz val="12"/>
        <color rgb="FFFF0000"/>
        <rFont val="Times New Roman"/>
        <family val="1"/>
      </rPr>
      <t>Φ1000</t>
    </r>
    <r>
      <rPr>
        <sz val="12"/>
        <color rgb="FFFF0000"/>
        <rFont val="宋体"/>
        <family val="3"/>
        <charset val="134"/>
      </rPr>
      <t>）</t>
    </r>
    <phoneticPr fontId="2" type="noConversion"/>
  </si>
  <si>
    <r>
      <t>d300</t>
    </r>
    <r>
      <rPr>
        <sz val="12"/>
        <color rgb="FFFF0000"/>
        <rFont val="宋体"/>
        <family val="3"/>
        <charset val="134"/>
      </rPr>
      <t>钢筋砼Ⅱ级承插口管</t>
    </r>
    <phoneticPr fontId="6" type="noConversion"/>
  </si>
  <si>
    <r>
      <t>d300管（</t>
    </r>
    <r>
      <rPr>
        <sz val="12"/>
        <color rgb="FFFF0000"/>
        <rFont val="Calibri"/>
        <family val="3"/>
        <charset val="161"/>
      </rPr>
      <t>Φ</t>
    </r>
    <r>
      <rPr>
        <sz val="12"/>
        <color rgb="FFFF0000"/>
        <rFont val="宋体"/>
        <family val="3"/>
        <charset val="134"/>
        <scheme val="minor"/>
      </rPr>
      <t>1000）钢筋砼检查井</t>
    </r>
    <phoneticPr fontId="6" type="noConversion"/>
  </si>
  <si>
    <t>PS-14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</si>
</sst>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.00_);[Red]\(0.00\)"/>
    <numFmt numFmtId="177" formatCode="0.0_);[Red]\(0.0\)"/>
    <numFmt numFmtId="178" formatCode="0_);[Red]\(0\)"/>
    <numFmt numFmtId="179" formatCode="0.00_ "/>
    <numFmt numFmtId="180" formatCode="0.0_ "/>
    <numFmt numFmtId="181" formatCode="0_ "/>
    <numFmt numFmtId="182" formatCode="0.0000000_);[Red]\(0.0000000\)"/>
    <numFmt numFmtId="183" formatCode="#,##0.00_);[Red]\(#,##0.00\)"/>
    <numFmt numFmtId="184" formatCode="#,##0_);[Red]\(#,##0\)"/>
    <numFmt numFmtId="185" formatCode="0.000_ "/>
    <numFmt numFmtId="186" formatCode="0.000_);[Red]\(0.000\)"/>
  </numFmts>
  <fonts count="59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6"/>
      <name val="宋体"/>
      <family val="3"/>
      <charset val="134"/>
    </font>
    <font>
      <b/>
      <sz val="16"/>
      <name val="Century Schoolbook"/>
      <family val="1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Century Schoolbook"/>
      <family val="1"/>
    </font>
    <font>
      <sz val="10"/>
      <name val="Times New Roman"/>
      <family val="1"/>
    </font>
    <font>
      <vertAlign val="superscript"/>
      <sz val="10"/>
      <name val="Century Schoolbook"/>
      <family val="1"/>
    </font>
    <font>
      <vertAlign val="superscript"/>
      <sz val="10"/>
      <name val="宋体"/>
      <family val="3"/>
      <charset val="134"/>
    </font>
    <font>
      <sz val="12"/>
      <name val="Times New Roman"/>
      <family val="1"/>
    </font>
    <font>
      <b/>
      <sz val="12"/>
      <name val="宋体"/>
      <family val="3"/>
      <charset val="134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vertAlign val="superscript"/>
      <sz val="12"/>
      <name val="宋体"/>
      <family val="3"/>
      <charset val="134"/>
    </font>
    <font>
      <b/>
      <sz val="18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8"/>
      <name val="Times New Roman"/>
      <family val="1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color rgb="FFFF0000"/>
      <name val="宋体"/>
      <family val="3"/>
      <charset val="134"/>
    </font>
    <font>
      <sz val="12"/>
      <name val="宋体"/>
      <family val="1"/>
      <charset val="134"/>
    </font>
    <font>
      <sz val="12"/>
      <name val="Times New Roman"/>
      <family val="1"/>
      <charset val="134"/>
    </font>
    <font>
      <sz val="12"/>
      <name val="Segoe UI Symbol"/>
      <family val="1"/>
    </font>
    <font>
      <sz val="12"/>
      <name val="Calibri"/>
      <family val="3"/>
      <charset val="161"/>
    </font>
    <font>
      <sz val="10"/>
      <name val="Calibri"/>
      <family val="3"/>
      <charset val="161"/>
    </font>
    <font>
      <b/>
      <sz val="30"/>
      <name val="Times New Roman"/>
      <family val="1"/>
    </font>
    <font>
      <b/>
      <sz val="30"/>
      <name val="宋体"/>
      <family val="3"/>
      <charset val="134"/>
    </font>
    <font>
      <sz val="24"/>
      <name val="宋体"/>
      <family val="3"/>
      <charset val="134"/>
    </font>
    <font>
      <sz val="24"/>
      <name val="Times New Roman"/>
      <family val="1"/>
    </font>
    <font>
      <sz val="24"/>
      <name val="Times New Roman"/>
      <family val="3"/>
      <charset val="134"/>
    </font>
    <font>
      <vertAlign val="superscript"/>
      <sz val="24"/>
      <name val="Times New Roman"/>
      <family val="1"/>
    </font>
    <font>
      <sz val="14"/>
      <name val="宋体"/>
      <family val="3"/>
      <charset val="134"/>
    </font>
    <font>
      <b/>
      <sz val="24"/>
      <name val="Times New Roman"/>
      <family val="1"/>
    </font>
    <font>
      <sz val="24"/>
      <name val="宋体"/>
      <family val="1"/>
      <charset val="134"/>
    </font>
    <font>
      <sz val="12"/>
      <name val="Times New Roman"/>
      <family val="3"/>
      <charset val="134"/>
    </font>
    <font>
      <sz val="14"/>
      <name val="Times New Roman"/>
      <family val="1"/>
    </font>
    <font>
      <sz val="20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vertAlign val="superscript"/>
      <sz val="11"/>
      <name val="宋体"/>
      <family val="3"/>
      <charset val="134"/>
    </font>
    <font>
      <b/>
      <sz val="20"/>
      <name val="宋体"/>
      <family val="3"/>
      <charset val="134"/>
    </font>
    <font>
      <sz val="12"/>
      <name val="Calibri"/>
      <family val="1"/>
      <charset val="204"/>
    </font>
    <font>
      <sz val="20"/>
      <name val="宋体"/>
      <family val="1"/>
      <charset val="134"/>
    </font>
    <font>
      <sz val="12"/>
      <color rgb="FFFF0000"/>
      <name val="Times New Roman"/>
      <family val="1"/>
    </font>
    <font>
      <sz val="14"/>
      <color rgb="FFFF0000"/>
      <name val="宋体"/>
      <family val="1"/>
      <charset val="134"/>
    </font>
    <font>
      <sz val="14"/>
      <color rgb="FFFF0000"/>
      <name val="Times New Roman"/>
      <family val="1"/>
    </font>
    <font>
      <sz val="14"/>
      <color rgb="FFFF0000"/>
      <name val="宋体"/>
      <family val="3"/>
      <charset val="134"/>
    </font>
    <font>
      <sz val="24"/>
      <color rgb="FFFF0000"/>
      <name val="Times New Roman"/>
      <family val="1"/>
    </font>
    <font>
      <sz val="12"/>
      <color rgb="FFFF0000"/>
      <name val="宋体"/>
      <family val="3"/>
      <charset val="134"/>
      <scheme val="minor"/>
    </font>
    <font>
      <sz val="24"/>
      <color rgb="FF00B050"/>
      <name val="宋体"/>
      <family val="1"/>
      <charset val="134"/>
    </font>
    <font>
      <sz val="10"/>
      <color rgb="FFFF0000"/>
      <name val="宋体"/>
      <family val="3"/>
      <charset val="134"/>
      <scheme val="minor"/>
    </font>
    <font>
      <sz val="12"/>
      <color rgb="FFFF0000"/>
      <name val="Calibri"/>
      <family val="3"/>
      <charset val="161"/>
    </font>
    <font>
      <sz val="10"/>
      <color rgb="FFFF0000"/>
      <name val="宋体"/>
      <family val="3"/>
      <charset val="134"/>
    </font>
    <font>
      <sz val="24"/>
      <color rgb="FFFF000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40" fillId="0" borderId="0"/>
    <xf numFmtId="0" fontId="40" fillId="0" borderId="0"/>
    <xf numFmtId="0" fontId="42" fillId="0" borderId="0">
      <alignment vertical="center"/>
    </xf>
    <xf numFmtId="0" fontId="40" fillId="0" borderId="0"/>
    <xf numFmtId="0" fontId="40" fillId="0" borderId="0"/>
    <xf numFmtId="0" fontId="41" fillId="0" borderId="0" applyAlignment="0"/>
    <xf numFmtId="0" fontId="40" fillId="0" borderId="0"/>
    <xf numFmtId="0" fontId="42" fillId="0" borderId="0">
      <alignment vertical="center"/>
    </xf>
  </cellStyleXfs>
  <cellXfs count="456">
    <xf numFmtId="0" fontId="0" fillId="0" borderId="0" xfId="0">
      <alignment vertical="center"/>
    </xf>
    <xf numFmtId="0" fontId="1" fillId="0" borderId="0" xfId="1"/>
    <xf numFmtId="176" fontId="1" fillId="0" borderId="0" xfId="1" applyNumberFormat="1"/>
    <xf numFmtId="177" fontId="1" fillId="0" borderId="0" xfId="1" applyNumberFormat="1"/>
    <xf numFmtId="0" fontId="6" fillId="0" borderId="0" xfId="1" applyFont="1"/>
    <xf numFmtId="0" fontId="0" fillId="0" borderId="0" xfId="1" applyFont="1"/>
    <xf numFmtId="176" fontId="5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178" fontId="11" fillId="0" borderId="1" xfId="2" applyNumberFormat="1" applyFont="1" applyBorder="1" applyAlignment="1">
      <alignment horizontal="center" vertical="center"/>
    </xf>
    <xf numFmtId="179" fontId="11" fillId="0" borderId="1" xfId="1" applyNumberFormat="1" applyFont="1" applyBorder="1" applyAlignment="1">
      <alignment horizontal="center" vertical="center"/>
    </xf>
    <xf numFmtId="0" fontId="5" fillId="0" borderId="0" xfId="2" applyFont="1">
      <alignment vertical="center"/>
    </xf>
    <xf numFmtId="176" fontId="11" fillId="0" borderId="1" xfId="2" applyNumberFormat="1" applyFont="1" applyBorder="1" applyAlignment="1">
      <alignment horizontal="center" vertical="center"/>
    </xf>
    <xf numFmtId="0" fontId="1" fillId="0" borderId="0" xfId="2">
      <alignment vertical="center"/>
    </xf>
    <xf numFmtId="179" fontId="1" fillId="0" borderId="0" xfId="2" applyNumberFormat="1">
      <alignment vertical="center"/>
    </xf>
    <xf numFmtId="0" fontId="5" fillId="0" borderId="1" xfId="2" applyFont="1" applyBorder="1" applyAlignment="1">
      <alignment horizontal="center" vertical="center"/>
    </xf>
    <xf numFmtId="180" fontId="13" fillId="0" borderId="1" xfId="2" applyNumberFormat="1" applyFont="1" applyBorder="1" applyAlignment="1">
      <alignment horizontal="center" vertical="center"/>
    </xf>
    <xf numFmtId="176" fontId="11" fillId="0" borderId="7" xfId="2" applyNumberFormat="1" applyFont="1" applyBorder="1" applyAlignment="1">
      <alignment horizontal="center" vertical="center"/>
    </xf>
    <xf numFmtId="179" fontId="11" fillId="0" borderId="7" xfId="2" applyNumberFormat="1" applyFont="1" applyBorder="1" applyAlignment="1">
      <alignment horizontal="center" vertical="center"/>
    </xf>
    <xf numFmtId="180" fontId="13" fillId="0" borderId="7" xfId="2" applyNumberFormat="1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179" fontId="1" fillId="4" borderId="0" xfId="2" applyNumberFormat="1" applyFill="1">
      <alignment vertical="center"/>
    </xf>
    <xf numFmtId="177" fontId="1" fillId="4" borderId="0" xfId="2" applyNumberFormat="1" applyFill="1">
      <alignment vertical="center"/>
    </xf>
    <xf numFmtId="0" fontId="5" fillId="0" borderId="11" xfId="2" applyFont="1" applyBorder="1" applyAlignment="1">
      <alignment horizontal="center" vertical="center"/>
    </xf>
    <xf numFmtId="0" fontId="1" fillId="0" borderId="0" xfId="4"/>
    <xf numFmtId="0" fontId="0" fillId="0" borderId="0" xfId="4" applyFont="1" applyAlignment="1">
      <alignment horizontal="center" vertical="center"/>
    </xf>
    <xf numFmtId="179" fontId="1" fillId="0" borderId="0" xfId="1" applyNumberFormat="1"/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176" fontId="0" fillId="0" borderId="0" xfId="1" applyNumberFormat="1" applyFont="1"/>
    <xf numFmtId="0" fontId="0" fillId="0" borderId="0" xfId="4" applyFont="1"/>
    <xf numFmtId="0" fontId="17" fillId="0" borderId="0" xfId="4" applyFont="1"/>
    <xf numFmtId="0" fontId="5" fillId="0" borderId="0" xfId="4" applyFont="1"/>
    <xf numFmtId="0" fontId="11" fillId="0" borderId="0" xfId="4" applyFont="1"/>
    <xf numFmtId="0" fontId="11" fillId="0" borderId="0" xfId="4" applyFont="1" applyAlignment="1">
      <alignment horizontal="center" vertical="center"/>
    </xf>
    <xf numFmtId="0" fontId="11" fillId="3" borderId="0" xfId="4" applyFont="1" applyFill="1" applyAlignment="1">
      <alignment vertical="center"/>
    </xf>
    <xf numFmtId="0" fontId="19" fillId="0" borderId="1" xfId="4" applyFont="1" applyBorder="1" applyAlignment="1">
      <alignment horizontal="center" vertical="center"/>
    </xf>
    <xf numFmtId="0" fontId="20" fillId="0" borderId="1" xfId="4" applyFont="1" applyBorder="1" applyAlignment="1">
      <alignment horizontal="center" vertical="center"/>
    </xf>
    <xf numFmtId="0" fontId="0" fillId="0" borderId="0" xfId="1" applyFont="1" applyAlignment="1">
      <alignment vertical="center"/>
    </xf>
    <xf numFmtId="179" fontId="1" fillId="2" borderId="0" xfId="3" applyNumberFormat="1" applyFill="1" applyAlignment="1">
      <alignment horizontal="center" vertical="center"/>
    </xf>
    <xf numFmtId="0" fontId="0" fillId="0" borderId="0" xfId="4" applyFont="1" applyAlignment="1">
      <alignment horizontal="center"/>
    </xf>
    <xf numFmtId="0" fontId="0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3" borderId="0" xfId="1" applyFill="1"/>
    <xf numFmtId="0" fontId="6" fillId="0" borderId="0" xfId="1" applyFont="1" applyAlignment="1">
      <alignment horizont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177" fontId="5" fillId="0" borderId="1" xfId="1" applyNumberFormat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/>
    </xf>
    <xf numFmtId="178" fontId="6" fillId="0" borderId="1" xfId="1" applyNumberFormat="1" applyFont="1" applyBorder="1" applyAlignment="1">
      <alignment horizontal="center" vertical="center"/>
    </xf>
    <xf numFmtId="177" fontId="6" fillId="0" borderId="1" xfId="1" applyNumberFormat="1" applyFont="1" applyBorder="1" applyAlignment="1">
      <alignment horizontal="center" vertical="center"/>
    </xf>
    <xf numFmtId="179" fontId="1" fillId="3" borderId="0" xfId="2" applyNumberFormat="1" applyFill="1" applyAlignment="1">
      <alignment horizontal="center" vertical="center"/>
    </xf>
    <xf numFmtId="0" fontId="1" fillId="3" borderId="0" xfId="1" applyFill="1" applyAlignment="1">
      <alignment horizontal="center" vertical="center"/>
    </xf>
    <xf numFmtId="179" fontId="0" fillId="3" borderId="0" xfId="2" applyNumberFormat="1" applyFont="1" applyFill="1" applyAlignment="1">
      <alignment horizontal="center" vertical="center"/>
    </xf>
    <xf numFmtId="0" fontId="0" fillId="3" borderId="0" xfId="1" applyFont="1" applyFill="1" applyAlignment="1">
      <alignment horizontal="center" vertical="center"/>
    </xf>
    <xf numFmtId="177" fontId="1" fillId="2" borderId="0" xfId="1" applyNumberFormat="1" applyFill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11" fillId="0" borderId="1" xfId="3" applyFont="1" applyBorder="1" applyAlignment="1" applyProtection="1">
      <alignment horizontal="center" vertical="center"/>
      <protection locked="0"/>
    </xf>
    <xf numFmtId="176" fontId="11" fillId="0" borderId="1" xfId="1" applyNumberFormat="1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179" fontId="1" fillId="3" borderId="0" xfId="3" applyNumberFormat="1" applyFill="1" applyAlignment="1">
      <alignment horizontal="center" vertical="center"/>
    </xf>
    <xf numFmtId="179" fontId="1" fillId="0" borderId="0" xfId="3" applyNumberFormat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11" fillId="0" borderId="7" xfId="2" applyFont="1" applyBorder="1" applyAlignment="1" applyProtection="1">
      <alignment horizontal="center" vertical="center"/>
      <protection locked="0"/>
    </xf>
    <xf numFmtId="0" fontId="11" fillId="0" borderId="7" xfId="2" applyFont="1" applyBorder="1" applyAlignment="1">
      <alignment horizontal="center" vertical="center"/>
    </xf>
    <xf numFmtId="179" fontId="0" fillId="3" borderId="0" xfId="2" applyNumberFormat="1" applyFont="1" applyFill="1">
      <alignment vertical="center"/>
    </xf>
    <xf numFmtId="179" fontId="1" fillId="3" borderId="0" xfId="2" applyNumberFormat="1" applyFill="1">
      <alignment vertical="center"/>
    </xf>
    <xf numFmtId="0" fontId="0" fillId="0" borderId="10" xfId="2" applyFont="1" applyBorder="1" applyAlignment="1">
      <alignment horizontal="center" vertical="center"/>
    </xf>
    <xf numFmtId="0" fontId="11" fillId="0" borderId="1" xfId="2" applyFont="1" applyBorder="1" applyAlignment="1" applyProtection="1">
      <alignment horizontal="center" vertical="center"/>
      <protection locked="0"/>
    </xf>
    <xf numFmtId="0" fontId="12" fillId="0" borderId="0" xfId="1" applyFont="1" applyAlignment="1">
      <alignment vertical="center"/>
    </xf>
    <xf numFmtId="0" fontId="12" fillId="3" borderId="0" xfId="1" applyFont="1" applyFill="1" applyAlignment="1">
      <alignment vertical="center"/>
    </xf>
    <xf numFmtId="0" fontId="21" fillId="0" borderId="0" xfId="1" applyFont="1" applyAlignment="1">
      <alignment vertical="center"/>
    </xf>
    <xf numFmtId="179" fontId="12" fillId="0" borderId="0" xfId="1" applyNumberFormat="1" applyFont="1" applyAlignment="1">
      <alignment vertical="center"/>
    </xf>
    <xf numFmtId="0" fontId="12" fillId="6" borderId="0" xfId="1" applyFont="1" applyFill="1" applyAlignment="1">
      <alignment vertical="center"/>
    </xf>
    <xf numFmtId="58" fontId="12" fillId="0" borderId="0" xfId="1" applyNumberFormat="1" applyFont="1" applyAlignment="1">
      <alignment vertical="center"/>
    </xf>
    <xf numFmtId="0" fontId="22" fillId="0" borderId="1" xfId="1" applyFont="1" applyBorder="1" applyAlignment="1">
      <alignment horizontal="center" vertical="center"/>
    </xf>
    <xf numFmtId="0" fontId="0" fillId="0" borderId="0" xfId="4" applyFont="1" applyAlignment="1">
      <alignment vertical="center"/>
    </xf>
    <xf numFmtId="179" fontId="1" fillId="0" borderId="0" xfId="4" applyNumberFormat="1"/>
    <xf numFmtId="185" fontId="1" fillId="0" borderId="0" xfId="4" applyNumberFormat="1"/>
    <xf numFmtId="0" fontId="11" fillId="5" borderId="0" xfId="4" applyFont="1" applyFill="1" applyAlignment="1">
      <alignment vertical="center"/>
    </xf>
    <xf numFmtId="0" fontId="11" fillId="0" borderId="0" xfId="4" applyFont="1" applyAlignment="1">
      <alignment vertical="center"/>
    </xf>
    <xf numFmtId="177" fontId="11" fillId="0" borderId="0" xfId="4" applyNumberFormat="1" applyFont="1" applyAlignment="1">
      <alignment vertical="center"/>
    </xf>
    <xf numFmtId="177" fontId="11" fillId="5" borderId="0" xfId="4" applyNumberFormat="1" applyFont="1" applyFill="1" applyAlignment="1">
      <alignment vertical="center"/>
    </xf>
    <xf numFmtId="0" fontId="11" fillId="5" borderId="0" xfId="4" applyFont="1" applyFill="1" applyAlignment="1">
      <alignment horizontal="right"/>
    </xf>
    <xf numFmtId="0" fontId="1" fillId="0" borderId="0" xfId="4" applyAlignment="1">
      <alignment horizontal="center" vertical="center"/>
    </xf>
    <xf numFmtId="179" fontId="1" fillId="0" borderId="0" xfId="4" applyNumberFormat="1" applyAlignment="1">
      <alignment horizontal="center" vertical="center"/>
    </xf>
    <xf numFmtId="185" fontId="1" fillId="0" borderId="0" xfId="4" applyNumberFormat="1" applyAlignment="1">
      <alignment horizontal="center" vertical="center"/>
    </xf>
    <xf numFmtId="0" fontId="29" fillId="5" borderId="0" xfId="4" applyFont="1" applyFill="1" applyAlignment="1">
      <alignment horizontal="left" vertical="center"/>
    </xf>
    <xf numFmtId="0" fontId="30" fillId="5" borderId="0" xfId="4" applyFont="1" applyFill="1" applyAlignment="1">
      <alignment horizontal="center" vertical="center"/>
    </xf>
    <xf numFmtId="0" fontId="30" fillId="3" borderId="0" xfId="4" applyFont="1" applyFill="1" applyAlignment="1">
      <alignment horizontal="center" vertical="center"/>
    </xf>
    <xf numFmtId="0" fontId="30" fillId="0" borderId="0" xfId="4" applyFont="1" applyAlignment="1">
      <alignment horizontal="center" vertical="center"/>
    </xf>
    <xf numFmtId="177" fontId="30" fillId="5" borderId="0" xfId="4" applyNumberFormat="1" applyFont="1" applyFill="1" applyAlignment="1">
      <alignment horizontal="center" vertical="center"/>
    </xf>
    <xf numFmtId="176" fontId="30" fillId="3" borderId="0" xfId="4" applyNumberFormat="1" applyFont="1" applyFill="1" applyAlignment="1">
      <alignment horizontal="center" vertical="center"/>
    </xf>
    <xf numFmtId="0" fontId="29" fillId="0" borderId="0" xfId="4" applyFont="1" applyAlignment="1">
      <alignment horizontal="center" vertical="center"/>
    </xf>
    <xf numFmtId="179" fontId="29" fillId="0" borderId="0" xfId="4" applyNumberFormat="1" applyFont="1" applyAlignment="1">
      <alignment horizontal="center" vertical="center"/>
    </xf>
    <xf numFmtId="185" fontId="29" fillId="0" borderId="0" xfId="4" applyNumberFormat="1" applyFont="1" applyAlignment="1">
      <alignment horizontal="center" vertical="center"/>
    </xf>
    <xf numFmtId="0" fontId="1" fillId="0" borderId="0" xfId="4" applyAlignment="1">
      <alignment horizontal="center" vertical="center" wrapText="1"/>
    </xf>
    <xf numFmtId="182" fontId="29" fillId="5" borderId="1" xfId="4" applyNumberFormat="1" applyFont="1" applyFill="1" applyBorder="1" applyAlignment="1">
      <alignment horizontal="center" vertical="center" wrapText="1"/>
    </xf>
    <xf numFmtId="182" fontId="30" fillId="5" borderId="1" xfId="4" applyNumberFormat="1" applyFont="1" applyFill="1" applyBorder="1" applyAlignment="1">
      <alignment horizontal="center" vertical="center" wrapText="1"/>
    </xf>
    <xf numFmtId="0" fontId="29" fillId="5" borderId="1" xfId="4" applyFont="1" applyFill="1" applyBorder="1" applyAlignment="1">
      <alignment horizontal="center" vertical="center" wrapText="1"/>
    </xf>
    <xf numFmtId="0" fontId="30" fillId="5" borderId="1" xfId="4" applyFont="1" applyFill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30" fillId="0" borderId="1" xfId="4" applyFont="1" applyBorder="1" applyAlignment="1">
      <alignment vertical="center" wrapText="1"/>
    </xf>
    <xf numFmtId="177" fontId="30" fillId="0" borderId="1" xfId="4" applyNumberFormat="1" applyFont="1" applyBorder="1" applyAlignment="1">
      <alignment horizontal="center" vertical="center" wrapText="1"/>
    </xf>
    <xf numFmtId="177" fontId="30" fillId="5" borderId="1" xfId="4" applyNumberFormat="1" applyFont="1" applyFill="1" applyBorder="1" applyAlignment="1">
      <alignment horizontal="center" vertical="center" wrapText="1"/>
    </xf>
    <xf numFmtId="0" fontId="30" fillId="3" borderId="1" xfId="4" applyFont="1" applyFill="1" applyBorder="1" applyAlignment="1">
      <alignment horizontal="center" vertical="center" wrapText="1"/>
    </xf>
    <xf numFmtId="176" fontId="30" fillId="3" borderId="1" xfId="4" applyNumberFormat="1" applyFont="1" applyFill="1" applyBorder="1" applyAlignment="1">
      <alignment horizontal="center" vertical="center" wrapText="1"/>
    </xf>
    <xf numFmtId="182" fontId="30" fillId="0" borderId="1" xfId="4" applyNumberFormat="1" applyFont="1" applyBorder="1" applyAlignment="1">
      <alignment horizontal="center" vertical="center" wrapText="1"/>
    </xf>
    <xf numFmtId="185" fontId="0" fillId="0" borderId="0" xfId="4" applyNumberFormat="1" applyFont="1" applyAlignment="1">
      <alignment horizontal="center" vertical="center"/>
    </xf>
    <xf numFmtId="0" fontId="30" fillId="0" borderId="1" xfId="4" applyFont="1" applyBorder="1" applyAlignment="1">
      <alignment horizontal="center" vertical="center"/>
    </xf>
    <xf numFmtId="181" fontId="30" fillId="0" borderId="1" xfId="4" applyNumberFormat="1" applyFont="1" applyBorder="1" applyAlignment="1">
      <alignment horizontal="center" vertical="center" wrapText="1"/>
    </xf>
    <xf numFmtId="177" fontId="30" fillId="0" borderId="1" xfId="4" applyNumberFormat="1" applyFont="1" applyBorder="1" applyAlignment="1">
      <alignment horizontal="center" vertical="center"/>
    </xf>
    <xf numFmtId="176" fontId="30" fillId="0" borderId="1" xfId="4" applyNumberFormat="1" applyFont="1" applyBorder="1" applyAlignment="1">
      <alignment horizontal="center" vertical="center"/>
    </xf>
    <xf numFmtId="176" fontId="30" fillId="3" borderId="1" xfId="4" applyNumberFormat="1" applyFont="1" applyFill="1" applyBorder="1" applyAlignment="1">
      <alignment horizontal="center" vertical="center"/>
    </xf>
    <xf numFmtId="176" fontId="30" fillId="0" borderId="1" xfId="4" applyNumberFormat="1" applyFont="1" applyBorder="1" applyAlignment="1">
      <alignment horizontal="center" vertical="center" wrapText="1"/>
    </xf>
    <xf numFmtId="0" fontId="33" fillId="0" borderId="0" xfId="4" applyFont="1" applyAlignment="1">
      <alignment horizontal="center" vertical="center"/>
    </xf>
    <xf numFmtId="179" fontId="33" fillId="0" borderId="0" xfId="4" applyNumberFormat="1" applyFont="1" applyAlignment="1">
      <alignment horizontal="center" vertical="center"/>
    </xf>
    <xf numFmtId="185" fontId="33" fillId="0" borderId="0" xfId="4" applyNumberFormat="1" applyFont="1" applyAlignment="1">
      <alignment horizontal="center" vertical="center"/>
    </xf>
    <xf numFmtId="0" fontId="29" fillId="0" borderId="1" xfId="4" applyFont="1" applyBorder="1" applyAlignment="1">
      <alignment horizontal="center" vertical="center"/>
    </xf>
    <xf numFmtId="176" fontId="33" fillId="0" borderId="0" xfId="4" applyNumberFormat="1" applyFont="1" applyAlignment="1">
      <alignment horizontal="center" vertical="center"/>
    </xf>
    <xf numFmtId="181" fontId="30" fillId="3" borderId="1" xfId="4" applyNumberFormat="1" applyFont="1" applyFill="1" applyBorder="1" applyAlignment="1">
      <alignment horizontal="center" vertical="center" wrapText="1"/>
    </xf>
    <xf numFmtId="0" fontId="33" fillId="0" borderId="0" xfId="4" applyFont="1" applyAlignment="1">
      <alignment vertical="center"/>
    </xf>
    <xf numFmtId="179" fontId="33" fillId="0" borderId="0" xfId="4" applyNumberFormat="1" applyFont="1" applyAlignment="1">
      <alignment vertical="center"/>
    </xf>
    <xf numFmtId="177" fontId="34" fillId="0" borderId="1" xfId="4" applyNumberFormat="1" applyFont="1" applyBorder="1" applyAlignment="1">
      <alignment horizontal="center" vertical="center" wrapText="1"/>
    </xf>
    <xf numFmtId="0" fontId="34" fillId="0" borderId="1" xfId="4" applyFont="1" applyBorder="1" applyAlignment="1">
      <alignment horizontal="center" vertical="center" wrapText="1"/>
    </xf>
    <xf numFmtId="0" fontId="34" fillId="3" borderId="1" xfId="4" applyFont="1" applyFill="1" applyBorder="1" applyAlignment="1">
      <alignment horizontal="center" vertical="center" wrapText="1"/>
    </xf>
    <xf numFmtId="176" fontId="30" fillId="0" borderId="1" xfId="4" applyNumberFormat="1" applyFont="1" applyBorder="1" applyAlignment="1">
      <alignment vertical="center" wrapText="1"/>
    </xf>
    <xf numFmtId="176" fontId="30" fillId="0" borderId="1" xfId="4" applyNumberFormat="1" applyFont="1" applyBorder="1" applyAlignment="1">
      <alignment vertical="center"/>
    </xf>
    <xf numFmtId="0" fontId="30" fillId="0" borderId="1" xfId="4" applyFont="1" applyBorder="1" applyAlignment="1">
      <alignment vertical="center"/>
    </xf>
    <xf numFmtId="185" fontId="33" fillId="0" borderId="0" xfId="4" applyNumberFormat="1" applyFont="1" applyAlignment="1">
      <alignment vertical="center"/>
    </xf>
    <xf numFmtId="186" fontId="30" fillId="0" borderId="1" xfId="4" applyNumberFormat="1" applyFont="1" applyBorder="1" applyAlignment="1">
      <alignment vertical="center" wrapText="1"/>
    </xf>
    <xf numFmtId="176" fontId="30" fillId="0" borderId="1" xfId="4" applyNumberFormat="1" applyFont="1" applyBorder="1" applyAlignment="1">
      <alignment horizontal="left" vertical="center"/>
    </xf>
    <xf numFmtId="0" fontId="30" fillId="3" borderId="1" xfId="4" applyFont="1" applyFill="1" applyBorder="1" applyAlignment="1">
      <alignment vertical="center" wrapText="1"/>
    </xf>
    <xf numFmtId="0" fontId="1" fillId="3" borderId="0" xfId="4" applyFill="1" applyAlignment="1">
      <alignment vertical="center"/>
    </xf>
    <xf numFmtId="0" fontId="1" fillId="0" borderId="0" xfId="4" applyAlignment="1">
      <alignment vertical="center"/>
    </xf>
    <xf numFmtId="177" fontId="1" fillId="0" borderId="0" xfId="4" applyNumberFormat="1" applyAlignment="1">
      <alignment vertical="center"/>
    </xf>
    <xf numFmtId="0" fontId="1" fillId="0" borderId="0" xfId="4" applyAlignment="1">
      <alignment horizontal="right" vertical="center"/>
    </xf>
    <xf numFmtId="176" fontId="1" fillId="3" borderId="0" xfId="4" applyNumberFormat="1" applyFill="1" applyAlignment="1">
      <alignment vertical="center"/>
    </xf>
    <xf numFmtId="182" fontId="1" fillId="0" borderId="0" xfId="4" applyNumberFormat="1" applyAlignment="1">
      <alignment vertical="center"/>
    </xf>
    <xf numFmtId="176" fontId="1" fillId="0" borderId="0" xfId="4" applyNumberFormat="1" applyAlignment="1">
      <alignment vertical="center"/>
    </xf>
    <xf numFmtId="176" fontId="1" fillId="0" borderId="0" xfId="4" applyNumberFormat="1" applyAlignment="1">
      <alignment horizontal="left" vertical="center"/>
    </xf>
    <xf numFmtId="179" fontId="1" fillId="0" borderId="0" xfId="4" applyNumberFormat="1" applyAlignment="1">
      <alignment vertical="center"/>
    </xf>
    <xf numFmtId="185" fontId="1" fillId="0" borderId="0" xfId="4" applyNumberFormat="1" applyAlignment="1">
      <alignment vertical="center"/>
    </xf>
    <xf numFmtId="177" fontId="11" fillId="0" borderId="0" xfId="4" applyNumberFormat="1" applyFont="1" applyAlignment="1">
      <alignment horizontal="center" vertical="center"/>
    </xf>
    <xf numFmtId="181" fontId="11" fillId="0" borderId="0" xfId="4" applyNumberFormat="1" applyFont="1" applyAlignment="1">
      <alignment horizontal="center" vertical="center"/>
    </xf>
    <xf numFmtId="0" fontId="14" fillId="0" borderId="0" xfId="4" applyFont="1" applyAlignment="1">
      <alignment horizontal="center" vertical="center"/>
    </xf>
    <xf numFmtId="0" fontId="36" fillId="0" borderId="0" xfId="4" applyFont="1" applyAlignment="1">
      <alignment horizontal="center" vertical="center"/>
    </xf>
    <xf numFmtId="0" fontId="37" fillId="0" borderId="1" xfId="4" applyFont="1" applyBorder="1" applyAlignment="1">
      <alignment horizontal="center" vertical="center" wrapText="1"/>
    </xf>
    <xf numFmtId="181" fontId="37" fillId="0" borderId="1" xfId="4" applyNumberFormat="1" applyFont="1" applyBorder="1" applyAlignment="1">
      <alignment horizontal="center" vertical="center" wrapText="1"/>
    </xf>
    <xf numFmtId="0" fontId="33" fillId="0" borderId="1" xfId="4" applyFont="1" applyBorder="1" applyAlignment="1">
      <alignment horizontal="center" vertical="center" wrapText="1"/>
    </xf>
    <xf numFmtId="0" fontId="37" fillId="0" borderId="1" xfId="4" applyFont="1" applyBorder="1" applyAlignment="1">
      <alignment horizontal="center" vertical="center"/>
    </xf>
    <xf numFmtId="181" fontId="37" fillId="0" borderId="1" xfId="4" applyNumberFormat="1" applyFont="1" applyBorder="1" applyAlignment="1">
      <alignment horizontal="center" vertical="center"/>
    </xf>
    <xf numFmtId="180" fontId="37" fillId="0" borderId="1" xfId="4" applyNumberFormat="1" applyFont="1" applyBorder="1" applyAlignment="1">
      <alignment horizontal="center" vertical="center" wrapText="1"/>
    </xf>
    <xf numFmtId="0" fontId="33" fillId="0" borderId="1" xfId="4" applyFont="1" applyBorder="1" applyAlignment="1">
      <alignment horizontal="center" vertical="center"/>
    </xf>
    <xf numFmtId="177" fontId="11" fillId="0" borderId="0" xfId="4" applyNumberFormat="1" applyFont="1"/>
    <xf numFmtId="181" fontId="11" fillId="0" borderId="0" xfId="4" applyNumberFormat="1" applyFont="1"/>
    <xf numFmtId="0" fontId="8" fillId="0" borderId="0" xfId="4" applyFont="1" applyAlignment="1">
      <alignment horizontal="center" vertical="center"/>
    </xf>
    <xf numFmtId="177" fontId="11" fillId="0" borderId="1" xfId="4" applyNumberFormat="1" applyFont="1" applyBorder="1" applyAlignment="1">
      <alignment horizontal="center" vertical="center"/>
    </xf>
    <xf numFmtId="177" fontId="11" fillId="0" borderId="1" xfId="4" applyNumberFormat="1" applyFont="1" applyBorder="1" applyAlignment="1">
      <alignment horizontal="center" vertical="center" wrapText="1"/>
    </xf>
    <xf numFmtId="0" fontId="11" fillId="0" borderId="0" xfId="4" applyFont="1" applyAlignment="1">
      <alignment horizontal="center"/>
    </xf>
    <xf numFmtId="177" fontId="0" fillId="0" borderId="1" xfId="4" applyNumberFormat="1" applyFont="1" applyBorder="1" applyAlignment="1">
      <alignment horizontal="center" vertical="center"/>
    </xf>
    <xf numFmtId="177" fontId="0" fillId="0" borderId="1" xfId="4" applyNumberFormat="1" applyFont="1" applyBorder="1" applyAlignment="1">
      <alignment horizontal="center" vertical="center" wrapText="1"/>
    </xf>
    <xf numFmtId="178" fontId="11" fillId="0" borderId="1" xfId="4" applyNumberFormat="1" applyFont="1" applyBorder="1" applyAlignment="1">
      <alignment horizontal="center" vertical="center"/>
    </xf>
    <xf numFmtId="178" fontId="11" fillId="0" borderId="0" xfId="4" applyNumberFormat="1" applyFont="1"/>
    <xf numFmtId="176" fontId="11" fillId="0" borderId="1" xfId="4" applyNumberFormat="1" applyFont="1" applyBorder="1" applyAlignment="1">
      <alignment horizontal="center" vertical="center"/>
    </xf>
    <xf numFmtId="177" fontId="11" fillId="0" borderId="1" xfId="4" applyNumberFormat="1" applyFont="1" applyBorder="1" applyAlignment="1">
      <alignment vertical="top" wrapText="1"/>
    </xf>
    <xf numFmtId="178" fontId="1" fillId="0" borderId="0" xfId="4" applyNumberFormat="1"/>
    <xf numFmtId="178" fontId="0" fillId="0" borderId="0" xfId="4" applyNumberFormat="1" applyFont="1"/>
    <xf numFmtId="0" fontId="29" fillId="0" borderId="0" xfId="1" applyFont="1" applyAlignment="1">
      <alignment horizontal="center" vertical="center"/>
    </xf>
    <xf numFmtId="0" fontId="1" fillId="0" borderId="1" xfId="4" applyBorder="1"/>
    <xf numFmtId="177" fontId="20" fillId="0" borderId="1" xfId="4" applyNumberFormat="1" applyFont="1" applyBorder="1" applyAlignment="1">
      <alignment horizontal="center" vertical="center"/>
    </xf>
    <xf numFmtId="0" fontId="29" fillId="0" borderId="1" xfId="4" applyFont="1" applyBorder="1" applyAlignment="1">
      <alignment horizontal="center" vertical="center" wrapText="1"/>
    </xf>
    <xf numFmtId="176" fontId="1" fillId="0" borderId="0" xfId="4" applyNumberFormat="1" applyAlignment="1">
      <alignment horizontal="center" vertical="center"/>
    </xf>
    <xf numFmtId="186" fontId="1" fillId="0" borderId="0" xfId="4" applyNumberFormat="1" applyAlignment="1">
      <alignment vertical="center"/>
    </xf>
    <xf numFmtId="0" fontId="1" fillId="0" borderId="1" xfId="4" applyBorder="1" applyAlignment="1">
      <alignment vertical="center"/>
    </xf>
    <xf numFmtId="176" fontId="1" fillId="0" borderId="1" xfId="4" applyNumberFormat="1" applyBorder="1" applyAlignment="1">
      <alignment horizontal="center" vertical="center"/>
    </xf>
    <xf numFmtId="0" fontId="39" fillId="0" borderId="1" xfId="4" applyFont="1" applyBorder="1" applyAlignment="1">
      <alignment horizontal="center" vertical="center" wrapText="1"/>
    </xf>
    <xf numFmtId="186" fontId="1" fillId="0" borderId="1" xfId="4" applyNumberFormat="1" applyBorder="1" applyAlignment="1">
      <alignment horizontal="center" vertical="center" wrapText="1"/>
    </xf>
    <xf numFmtId="0" fontId="43" fillId="0" borderId="1" xfId="4" applyFont="1" applyBorder="1" applyAlignment="1">
      <alignment horizontal="center" vertical="center" wrapText="1"/>
    </xf>
    <xf numFmtId="181" fontId="39" fillId="0" borderId="1" xfId="4" applyNumberFormat="1" applyFont="1" applyBorder="1" applyAlignment="1">
      <alignment horizontal="center" vertical="center" wrapText="1"/>
    </xf>
    <xf numFmtId="177" fontId="39" fillId="0" borderId="1" xfId="4" applyNumberFormat="1" applyFont="1" applyBorder="1" applyAlignment="1">
      <alignment horizontal="center" vertical="center" wrapText="1"/>
    </xf>
    <xf numFmtId="0" fontId="39" fillId="0" borderId="1" xfId="4" applyFont="1" applyBorder="1" applyAlignment="1">
      <alignment vertical="center" wrapText="1"/>
    </xf>
    <xf numFmtId="0" fontId="39" fillId="3" borderId="1" xfId="4" applyFont="1" applyFill="1" applyBorder="1" applyAlignment="1">
      <alignment vertical="center" wrapText="1"/>
    </xf>
    <xf numFmtId="0" fontId="1" fillId="0" borderId="1" xfId="4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181" fontId="1" fillId="0" borderId="1" xfId="4" applyNumberFormat="1" applyBorder="1" applyAlignment="1">
      <alignment horizontal="center" vertical="center" wrapText="1"/>
    </xf>
    <xf numFmtId="177" fontId="1" fillId="0" borderId="1" xfId="4" applyNumberFormat="1" applyBorder="1" applyAlignment="1">
      <alignment horizontal="center" vertical="center" wrapText="1"/>
    </xf>
    <xf numFmtId="0" fontId="1" fillId="0" borderId="1" xfId="4" applyBorder="1" applyAlignment="1">
      <alignment vertical="center" wrapText="1"/>
    </xf>
    <xf numFmtId="0" fontId="1" fillId="3" borderId="1" xfId="4" applyFill="1" applyBorder="1" applyAlignment="1">
      <alignment vertical="center" wrapText="1"/>
    </xf>
    <xf numFmtId="0" fontId="1" fillId="0" borderId="1" xfId="4" applyBorder="1" applyAlignment="1">
      <alignment horizontal="center" vertical="center"/>
    </xf>
    <xf numFmtId="177" fontId="1" fillId="0" borderId="1" xfId="4" applyNumberFormat="1" applyBorder="1" applyAlignment="1">
      <alignment vertical="center" wrapText="1"/>
    </xf>
    <xf numFmtId="182" fontId="1" fillId="0" borderId="1" xfId="4" applyNumberFormat="1" applyBorder="1" applyAlignment="1">
      <alignment vertical="center"/>
    </xf>
    <xf numFmtId="186" fontId="1" fillId="0" borderId="1" xfId="4" applyNumberFormat="1" applyBorder="1" applyAlignment="1">
      <alignment horizontal="center" vertical="center"/>
    </xf>
    <xf numFmtId="181" fontId="1" fillId="0" borderId="1" xfId="4" applyNumberFormat="1" applyBorder="1" applyAlignment="1">
      <alignment horizontal="center" vertical="center"/>
    </xf>
    <xf numFmtId="181" fontId="1" fillId="0" borderId="1" xfId="4" applyNumberFormat="1" applyBorder="1" applyAlignment="1">
      <alignment horizontal="right" vertical="center" wrapText="1"/>
    </xf>
    <xf numFmtId="177" fontId="12" fillId="0" borderId="1" xfId="4" applyNumberFormat="1" applyFont="1" applyBorder="1" applyAlignment="1">
      <alignment horizontal="center" vertical="center" wrapText="1"/>
    </xf>
    <xf numFmtId="177" fontId="1" fillId="0" borderId="1" xfId="4" applyNumberFormat="1" applyBorder="1" applyAlignment="1">
      <alignment horizontal="center" vertical="center"/>
    </xf>
    <xf numFmtId="179" fontId="1" fillId="0" borderId="1" xfId="4" applyNumberFormat="1" applyBorder="1" applyAlignment="1">
      <alignment vertical="center"/>
    </xf>
    <xf numFmtId="181" fontId="39" fillId="0" borderId="0" xfId="4" applyNumberFormat="1" applyFont="1" applyAlignment="1">
      <alignment horizontal="center" vertical="center"/>
    </xf>
    <xf numFmtId="0" fontId="1" fillId="3" borderId="1" xfId="4" applyFill="1" applyBorder="1" applyAlignment="1">
      <alignment horizontal="center" vertical="center"/>
    </xf>
    <xf numFmtId="176" fontId="1" fillId="0" borderId="1" xfId="4" applyNumberFormat="1" applyBorder="1" applyAlignment="1">
      <alignment horizontal="center" vertical="center" wrapText="1"/>
    </xf>
    <xf numFmtId="183" fontId="1" fillId="0" borderId="1" xfId="4" applyNumberFormat="1" applyBorder="1" applyAlignment="1">
      <alignment horizontal="center" vertical="center" wrapText="1"/>
    </xf>
    <xf numFmtId="0" fontId="1" fillId="3" borderId="1" xfId="4" applyFill="1" applyBorder="1" applyAlignment="1">
      <alignment horizontal="center" vertical="center" wrapText="1"/>
    </xf>
    <xf numFmtId="0" fontId="1" fillId="0" borderId="14" xfId="4" applyBorder="1" applyAlignment="1">
      <alignment horizontal="center" vertical="center" wrapText="1"/>
    </xf>
    <xf numFmtId="180" fontId="1" fillId="0" borderId="1" xfId="4" applyNumberFormat="1" applyBorder="1" applyAlignment="1">
      <alignment horizontal="center" vertical="center"/>
    </xf>
    <xf numFmtId="0" fontId="1" fillId="5" borderId="1" xfId="4" applyFill="1" applyBorder="1" applyAlignment="1">
      <alignment horizontal="center" vertical="center" wrapText="1"/>
    </xf>
    <xf numFmtId="0" fontId="1" fillId="5" borderId="1" xfId="4" applyFill="1" applyBorder="1" applyAlignment="1">
      <alignment horizontal="center" vertical="center"/>
    </xf>
    <xf numFmtId="186" fontId="1" fillId="5" borderId="1" xfId="4" applyNumberFormat="1" applyFill="1" applyBorder="1" applyAlignment="1">
      <alignment horizontal="center" vertical="center"/>
    </xf>
    <xf numFmtId="183" fontId="1" fillId="5" borderId="1" xfId="4" applyNumberFormat="1" applyFill="1" applyBorder="1" applyAlignment="1">
      <alignment horizontal="center" vertical="center" wrapText="1"/>
    </xf>
    <xf numFmtId="182" fontId="1" fillId="5" borderId="1" xfId="4" applyNumberFormat="1" applyFill="1" applyBorder="1" applyAlignment="1">
      <alignment horizontal="center" vertical="center" wrapText="1"/>
    </xf>
    <xf numFmtId="0" fontId="1" fillId="5" borderId="0" xfId="4" applyFill="1" applyAlignment="1">
      <alignment horizontal="center" vertical="center"/>
    </xf>
    <xf numFmtId="177" fontId="1" fillId="0" borderId="0" xfId="4" applyNumberFormat="1" applyAlignment="1">
      <alignment horizontal="center" vertical="center"/>
    </xf>
    <xf numFmtId="0" fontId="1" fillId="3" borderId="0" xfId="4" applyFill="1" applyAlignment="1">
      <alignment horizontal="center" vertical="center"/>
    </xf>
    <xf numFmtId="0" fontId="0" fillId="5" borderId="0" xfId="4" applyFont="1" applyFill="1" applyAlignment="1">
      <alignment horizontal="left" vertical="center"/>
    </xf>
    <xf numFmtId="179" fontId="0" fillId="0" borderId="0" xfId="2" applyNumberFormat="1" applyFont="1" applyAlignment="1">
      <alignment horizontal="center" vertical="center"/>
    </xf>
    <xf numFmtId="177" fontId="11" fillId="0" borderId="5" xfId="4" applyNumberFormat="1" applyFont="1" applyBorder="1" applyAlignment="1">
      <alignment horizontal="center" vertical="center" wrapText="1"/>
    </xf>
    <xf numFmtId="0" fontId="22" fillId="0" borderId="1" xfId="4" applyFont="1" applyBorder="1" applyAlignment="1">
      <alignment horizontal="center" vertical="center" wrapText="1"/>
    </xf>
    <xf numFmtId="0" fontId="22" fillId="0" borderId="0" xfId="4" applyFont="1" applyAlignment="1">
      <alignment vertical="center" wrapText="1"/>
    </xf>
    <xf numFmtId="179" fontId="11" fillId="0" borderId="1" xfId="4" applyNumberFormat="1" applyFont="1" applyBorder="1" applyAlignment="1">
      <alignment horizontal="center" vertical="center"/>
    </xf>
    <xf numFmtId="181" fontId="11" fillId="0" borderId="1" xfId="4" applyNumberFormat="1" applyFont="1" applyBorder="1" applyAlignment="1">
      <alignment horizontal="center" vertical="center"/>
    </xf>
    <xf numFmtId="185" fontId="11" fillId="0" borderId="1" xfId="4" applyNumberFormat="1" applyFont="1" applyBorder="1" applyAlignment="1">
      <alignment horizontal="center" vertical="center"/>
    </xf>
    <xf numFmtId="0" fontId="22" fillId="0" borderId="0" xfId="4" applyFont="1" applyAlignment="1">
      <alignment horizontal="center" vertical="center"/>
    </xf>
    <xf numFmtId="0" fontId="22" fillId="0" borderId="1" xfId="4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 wrapText="1"/>
    </xf>
    <xf numFmtId="0" fontId="23" fillId="0" borderId="1" xfId="4" applyFont="1" applyBorder="1" applyAlignment="1">
      <alignment horizontal="center" vertical="center" wrapText="1"/>
    </xf>
    <xf numFmtId="177" fontId="36" fillId="0" borderId="1" xfId="4" applyNumberFormat="1" applyFont="1" applyBorder="1" applyAlignment="1">
      <alignment horizontal="center" vertical="center"/>
    </xf>
    <xf numFmtId="180" fontId="20" fillId="0" borderId="1" xfId="4" applyNumberFormat="1" applyFont="1" applyBorder="1" applyAlignment="1">
      <alignment horizontal="center" vertical="center"/>
    </xf>
    <xf numFmtId="0" fontId="5" fillId="0" borderId="1" xfId="1" applyFont="1" applyBorder="1" applyAlignment="1">
      <alignment vertical="center"/>
    </xf>
    <xf numFmtId="179" fontId="11" fillId="0" borderId="1" xfId="2" applyNumberFormat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 wrapText="1"/>
    </xf>
    <xf numFmtId="0" fontId="29" fillId="0" borderId="1" xfId="4" applyFont="1" applyBorder="1" applyAlignment="1">
      <alignment vertical="center"/>
    </xf>
    <xf numFmtId="0" fontId="16" fillId="0" borderId="0" xfId="4" applyFont="1" applyAlignment="1">
      <alignment horizontal="center" vertical="center"/>
    </xf>
    <xf numFmtId="0" fontId="18" fillId="0" borderId="0" xfId="4" applyFont="1" applyAlignment="1">
      <alignment horizontal="center" vertical="center"/>
    </xf>
    <xf numFmtId="177" fontId="20" fillId="0" borderId="1" xfId="4" applyNumberFormat="1" applyFont="1" applyBorder="1" applyAlignment="1">
      <alignment horizontal="center" vertical="center" wrapText="1"/>
    </xf>
    <xf numFmtId="0" fontId="0" fillId="0" borderId="15" xfId="4" applyFont="1" applyBorder="1" applyAlignment="1">
      <alignment vertical="center"/>
    </xf>
    <xf numFmtId="0" fontId="3" fillId="0" borderId="0" xfId="1" applyFont="1" applyAlignment="1">
      <alignment horizontal="center"/>
    </xf>
    <xf numFmtId="0" fontId="23" fillId="5" borderId="0" xfId="4" applyFont="1" applyFill="1" applyAlignment="1">
      <alignment vertical="center"/>
    </xf>
    <xf numFmtId="0" fontId="30" fillId="0" borderId="0" xfId="4" applyFont="1" applyAlignment="1">
      <alignment vertical="center" wrapText="1"/>
    </xf>
    <xf numFmtId="0" fontId="1" fillId="0" borderId="0" xfId="1" applyAlignment="1">
      <alignment vertical="center"/>
    </xf>
    <xf numFmtId="177" fontId="23" fillId="0" borderId="5" xfId="4" applyNumberFormat="1" applyFont="1" applyBorder="1" applyAlignment="1">
      <alignment horizontal="center" vertical="center" wrapText="1"/>
    </xf>
    <xf numFmtId="0" fontId="20" fillId="0" borderId="1" xfId="4" applyFont="1" applyBorder="1" applyAlignment="1">
      <alignment vertical="center" wrapText="1"/>
    </xf>
    <xf numFmtId="0" fontId="11" fillId="0" borderId="1" xfId="4" applyFont="1" applyBorder="1" applyAlignment="1">
      <alignment horizontal="center" vertical="center"/>
    </xf>
    <xf numFmtId="0" fontId="48" fillId="0" borderId="1" xfId="3" applyFont="1" applyBorder="1" applyAlignment="1" applyProtection="1">
      <alignment horizontal="center" vertical="center"/>
      <protection locked="0"/>
    </xf>
    <xf numFmtId="0" fontId="20" fillId="0" borderId="1" xfId="4" applyFont="1" applyBorder="1" applyAlignment="1">
      <alignment vertical="center"/>
    </xf>
    <xf numFmtId="183" fontId="30" fillId="3" borderId="1" xfId="4" applyNumberFormat="1" applyFont="1" applyFill="1" applyBorder="1" applyAlignment="1">
      <alignment horizontal="center" vertical="center" wrapText="1"/>
    </xf>
    <xf numFmtId="0" fontId="30" fillId="3" borderId="1" xfId="4" applyFont="1" applyFill="1" applyBorder="1" applyAlignment="1">
      <alignment horizontal="center" vertical="center"/>
    </xf>
    <xf numFmtId="184" fontId="30" fillId="3" borderId="1" xfId="4" applyNumberFormat="1" applyFont="1" applyFill="1" applyBorder="1" applyAlignment="1">
      <alignment horizontal="center" vertical="center" wrapText="1"/>
    </xf>
    <xf numFmtId="0" fontId="49" fillId="0" borderId="1" xfId="4" applyFont="1" applyBorder="1" applyAlignment="1">
      <alignment horizontal="center" vertical="center"/>
    </xf>
    <xf numFmtId="0" fontId="50" fillId="0" borderId="1" xfId="4" applyFont="1" applyBorder="1" applyAlignment="1">
      <alignment horizontal="center" vertical="center"/>
    </xf>
    <xf numFmtId="181" fontId="50" fillId="0" borderId="1" xfId="4" applyNumberFormat="1" applyFont="1" applyBorder="1" applyAlignment="1">
      <alignment horizontal="center" vertical="center"/>
    </xf>
    <xf numFmtId="180" fontId="50" fillId="0" borderId="1" xfId="4" applyNumberFormat="1" applyFont="1" applyBorder="1" applyAlignment="1">
      <alignment horizontal="center" vertical="center" wrapText="1"/>
    </xf>
    <xf numFmtId="181" fontId="50" fillId="0" borderId="1" xfId="4" applyNumberFormat="1" applyFont="1" applyBorder="1" applyAlignment="1">
      <alignment horizontal="center" vertical="center" wrapText="1"/>
    </xf>
    <xf numFmtId="0" fontId="51" fillId="0" borderId="1" xfId="4" applyFont="1" applyBorder="1" applyAlignment="1">
      <alignment horizontal="center" vertical="center"/>
    </xf>
    <xf numFmtId="177" fontId="52" fillId="0" borderId="1" xfId="4" applyNumberFormat="1" applyFont="1" applyBorder="1" applyAlignment="1">
      <alignment horizontal="center" vertical="center"/>
    </xf>
    <xf numFmtId="0" fontId="53" fillId="0" borderId="1" xfId="4" applyFont="1" applyBorder="1" applyAlignment="1">
      <alignment horizontal="center" vertical="center"/>
    </xf>
    <xf numFmtId="177" fontId="54" fillId="0" borderId="1" xfId="4" applyNumberFormat="1" applyFont="1" applyBorder="1" applyAlignment="1">
      <alignment horizontal="center" vertical="center"/>
    </xf>
    <xf numFmtId="0" fontId="52" fillId="0" borderId="1" xfId="4" applyFont="1" applyBorder="1" applyAlignment="1">
      <alignment horizontal="center" vertical="center"/>
    </xf>
    <xf numFmtId="0" fontId="52" fillId="3" borderId="1" xfId="4" applyFont="1" applyFill="1" applyBorder="1" applyAlignment="1">
      <alignment horizontal="center" vertical="center"/>
    </xf>
    <xf numFmtId="0" fontId="52" fillId="3" borderId="1" xfId="4" applyFont="1" applyFill="1" applyBorder="1" applyAlignment="1">
      <alignment horizontal="center" vertical="center" wrapText="1"/>
    </xf>
    <xf numFmtId="181" fontId="52" fillId="3" borderId="1" xfId="4" applyNumberFormat="1" applyFont="1" applyFill="1" applyBorder="1" applyAlignment="1">
      <alignment horizontal="center" vertical="center" wrapText="1"/>
    </xf>
    <xf numFmtId="184" fontId="52" fillId="3" borderId="1" xfId="4" applyNumberFormat="1" applyFont="1" applyFill="1" applyBorder="1" applyAlignment="1">
      <alignment horizontal="center" vertical="center" wrapText="1"/>
    </xf>
    <xf numFmtId="176" fontId="52" fillId="0" borderId="1" xfId="4" applyNumberFormat="1" applyFont="1" applyBorder="1" applyAlignment="1">
      <alignment horizontal="center" vertical="center"/>
    </xf>
    <xf numFmtId="177" fontId="52" fillId="0" borderId="1" xfId="4" applyNumberFormat="1" applyFont="1" applyBorder="1" applyAlignment="1">
      <alignment horizontal="center" vertical="center" wrapText="1"/>
    </xf>
    <xf numFmtId="176" fontId="52" fillId="3" borderId="1" xfId="4" applyNumberFormat="1" applyFont="1" applyFill="1" applyBorder="1" applyAlignment="1">
      <alignment horizontal="center" vertical="center"/>
    </xf>
    <xf numFmtId="176" fontId="52" fillId="0" borderId="1" xfId="4" applyNumberFormat="1" applyFont="1" applyBorder="1" applyAlignment="1">
      <alignment horizontal="center" vertical="center" wrapText="1"/>
    </xf>
    <xf numFmtId="0" fontId="52" fillId="0" borderId="1" xfId="4" applyFont="1" applyBorder="1" applyAlignment="1">
      <alignment horizontal="center" vertical="center" wrapText="1"/>
    </xf>
    <xf numFmtId="0" fontId="51" fillId="0" borderId="0" xfId="4" applyFont="1" applyAlignment="1">
      <alignment horizontal="center" vertical="center"/>
    </xf>
    <xf numFmtId="179" fontId="51" fillId="0" borderId="0" xfId="4" applyNumberFormat="1" applyFont="1" applyAlignment="1">
      <alignment horizontal="center" vertical="center"/>
    </xf>
    <xf numFmtId="185" fontId="51" fillId="0" borderId="0" xfId="4" applyNumberFormat="1" applyFont="1" applyAlignment="1">
      <alignment horizontal="center" vertical="center"/>
    </xf>
    <xf numFmtId="181" fontId="53" fillId="0" borderId="1" xfId="4" applyNumberFormat="1" applyFont="1" applyBorder="1" applyAlignment="1">
      <alignment horizontal="center" vertical="center"/>
    </xf>
    <xf numFmtId="178" fontId="53" fillId="0" borderId="1" xfId="4" applyNumberFormat="1" applyFont="1" applyBorder="1" applyAlignment="1">
      <alignment horizontal="center" vertical="center"/>
    </xf>
    <xf numFmtId="181" fontId="20" fillId="0" borderId="1" xfId="4" applyNumberFormat="1" applyFont="1" applyBorder="1" applyAlignment="1">
      <alignment horizontal="center" vertical="center"/>
    </xf>
    <xf numFmtId="0" fontId="17" fillId="0" borderId="1" xfId="4" applyFont="1" applyBorder="1" applyAlignment="1">
      <alignment horizontal="center" vertical="center"/>
    </xf>
    <xf numFmtId="0" fontId="55" fillId="0" borderId="1" xfId="4" applyFont="1" applyBorder="1" applyAlignment="1">
      <alignment horizontal="center" vertical="center"/>
    </xf>
    <xf numFmtId="177" fontId="17" fillId="0" borderId="1" xfId="0" applyNumberFormat="1" applyFont="1" applyBorder="1" applyAlignment="1">
      <alignment horizontal="center" vertical="center"/>
    </xf>
    <xf numFmtId="0" fontId="17" fillId="0" borderId="1" xfId="2" applyFont="1" applyBorder="1" applyAlignment="1">
      <alignment horizontal="center" vertical="center"/>
    </xf>
    <xf numFmtId="0" fontId="48" fillId="0" borderId="1" xfId="2" applyFont="1" applyBorder="1" applyAlignment="1">
      <alignment horizontal="center" vertical="center"/>
    </xf>
    <xf numFmtId="176" fontId="48" fillId="0" borderId="1" xfId="2" applyNumberFormat="1" applyFont="1" applyBorder="1" applyAlignment="1">
      <alignment horizontal="center" vertical="center"/>
    </xf>
    <xf numFmtId="176" fontId="48" fillId="0" borderId="1" xfId="1" applyNumberFormat="1" applyFont="1" applyBorder="1" applyAlignment="1">
      <alignment horizontal="center" vertical="center"/>
    </xf>
    <xf numFmtId="178" fontId="48" fillId="0" borderId="1" xfId="2" applyNumberFormat="1" applyFont="1" applyBorder="1" applyAlignment="1">
      <alignment horizontal="center" vertical="center"/>
    </xf>
    <xf numFmtId="179" fontId="48" fillId="0" borderId="1" xfId="1" applyNumberFormat="1" applyFont="1" applyBorder="1" applyAlignment="1">
      <alignment horizontal="center" vertical="center"/>
    </xf>
    <xf numFmtId="0" fontId="57" fillId="0" borderId="1" xfId="2" applyFont="1" applyBorder="1" applyAlignment="1">
      <alignment horizontal="center" vertical="center"/>
    </xf>
    <xf numFmtId="0" fontId="17" fillId="0" borderId="0" xfId="2" applyFont="1">
      <alignment vertical="center"/>
    </xf>
    <xf numFmtId="0" fontId="17" fillId="0" borderId="0" xfId="1" applyFont="1" applyAlignment="1">
      <alignment horizontal="center" vertical="center"/>
    </xf>
    <xf numFmtId="179" fontId="17" fillId="3" borderId="0" xfId="2" applyNumberFormat="1" applyFont="1" applyFill="1" applyAlignment="1">
      <alignment horizontal="center" vertical="center"/>
    </xf>
    <xf numFmtId="179" fontId="17" fillId="2" borderId="0" xfId="3" applyNumberFormat="1" applyFont="1" applyFill="1" applyAlignment="1">
      <alignment horizontal="center" vertical="center"/>
    </xf>
    <xf numFmtId="179" fontId="17" fillId="3" borderId="0" xfId="3" applyNumberFormat="1" applyFont="1" applyFill="1" applyAlignment="1">
      <alignment horizontal="center" vertical="center"/>
    </xf>
    <xf numFmtId="179" fontId="17" fillId="0" borderId="0" xfId="2" applyNumberFormat="1" applyFont="1">
      <alignment vertical="center"/>
    </xf>
    <xf numFmtId="0" fontId="17" fillId="0" borderId="0" xfId="1" applyFont="1"/>
    <xf numFmtId="0" fontId="58" fillId="0" borderId="1" xfId="4" applyFont="1" applyBorder="1" applyAlignment="1">
      <alignment horizontal="center" vertical="center"/>
    </xf>
    <xf numFmtId="0" fontId="29" fillId="0" borderId="6" xfId="4" applyFont="1" applyBorder="1" applyAlignment="1">
      <alignment vertical="center" wrapText="1"/>
    </xf>
    <xf numFmtId="178" fontId="52" fillId="0" borderId="1" xfId="4" applyNumberFormat="1" applyFont="1" applyBorder="1" applyAlignment="1">
      <alignment horizontal="center" vertical="center"/>
    </xf>
    <xf numFmtId="0" fontId="53" fillId="0" borderId="5" xfId="4" applyFont="1" applyBorder="1" applyAlignment="1">
      <alignment horizontal="center" vertical="center" wrapText="1"/>
    </xf>
    <xf numFmtId="0" fontId="53" fillId="0" borderId="6" xfId="4" applyFont="1" applyBorder="1" applyAlignment="1">
      <alignment horizontal="center" vertical="center" wrapText="1"/>
    </xf>
    <xf numFmtId="0" fontId="53" fillId="0" borderId="7" xfId="4" applyFont="1" applyBorder="1" applyAlignment="1">
      <alignment horizontal="center" vertical="center" wrapText="1"/>
    </xf>
    <xf numFmtId="0" fontId="20" fillId="0" borderId="5" xfId="4" applyFont="1" applyBorder="1" applyAlignment="1">
      <alignment horizontal="center" vertical="center"/>
    </xf>
    <xf numFmtId="0" fontId="20" fillId="0" borderId="7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18" fillId="0" borderId="0" xfId="4" applyFont="1" applyAlignment="1">
      <alignment horizontal="center" vertical="center"/>
    </xf>
    <xf numFmtId="0" fontId="0" fillId="0" borderId="0" xfId="4" applyFont="1" applyAlignment="1">
      <alignment horizontal="center"/>
    </xf>
    <xf numFmtId="0" fontId="20" fillId="0" borderId="1" xfId="4" applyFont="1" applyBorder="1" applyAlignment="1">
      <alignment horizontal="center" vertical="center"/>
    </xf>
    <xf numFmtId="180" fontId="53" fillId="0" borderId="1" xfId="4" applyNumberFormat="1" applyFont="1" applyBorder="1" applyAlignment="1">
      <alignment horizontal="center" vertical="center"/>
    </xf>
    <xf numFmtId="0" fontId="20" fillId="0" borderId="1" xfId="4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3" fillId="0" borderId="5" xfId="4" applyFont="1" applyBorder="1" applyAlignment="1">
      <alignment horizontal="center" vertical="center"/>
    </xf>
    <xf numFmtId="0" fontId="53" fillId="0" borderId="7" xfId="4" applyFont="1" applyBorder="1" applyAlignment="1">
      <alignment horizontal="center" vertical="center"/>
    </xf>
    <xf numFmtId="0" fontId="1" fillId="0" borderId="2" xfId="4" applyBorder="1" applyAlignment="1">
      <alignment horizontal="center" vertical="center"/>
    </xf>
    <xf numFmtId="0" fontId="1" fillId="0" borderId="3" xfId="4" applyBorder="1" applyAlignment="1">
      <alignment horizontal="center" vertical="center"/>
    </xf>
    <xf numFmtId="0" fontId="1" fillId="0" borderId="4" xfId="4" applyBorder="1" applyAlignment="1">
      <alignment horizontal="center" vertical="center"/>
    </xf>
    <xf numFmtId="0" fontId="0" fillId="0" borderId="2" xfId="4" applyFont="1" applyBorder="1" applyAlignment="1">
      <alignment horizontal="center" vertical="center"/>
    </xf>
    <xf numFmtId="0" fontId="0" fillId="0" borderId="3" xfId="4" applyFont="1" applyBorder="1" applyAlignment="1">
      <alignment horizontal="center" vertical="center"/>
    </xf>
    <xf numFmtId="0" fontId="0" fillId="0" borderId="4" xfId="4" applyFont="1" applyBorder="1" applyAlignment="1">
      <alignment horizontal="center" vertical="center"/>
    </xf>
    <xf numFmtId="0" fontId="17" fillId="0" borderId="5" xfId="4" applyFont="1" applyBorder="1" applyAlignment="1">
      <alignment horizontal="center" vertical="center"/>
    </xf>
    <xf numFmtId="0" fontId="17" fillId="0" borderId="7" xfId="4" applyFont="1" applyBorder="1" applyAlignment="1">
      <alignment horizontal="center" vertical="center"/>
    </xf>
    <xf numFmtId="0" fontId="29" fillId="0" borderId="0" xfId="4" applyFont="1" applyAlignment="1">
      <alignment horizontal="center" vertical="center" wrapText="1"/>
    </xf>
    <xf numFmtId="0" fontId="35" fillId="5" borderId="15" xfId="4" applyFont="1" applyFill="1" applyBorder="1" applyAlignment="1">
      <alignment horizontal="left" vertical="center"/>
    </xf>
    <xf numFmtId="0" fontId="28" fillId="5" borderId="0" xfId="4" applyFont="1" applyFill="1" applyAlignment="1">
      <alignment horizontal="center" vertical="center"/>
    </xf>
    <xf numFmtId="0" fontId="27" fillId="5" borderId="0" xfId="4" applyFont="1" applyFill="1" applyAlignment="1">
      <alignment horizontal="center" vertical="center"/>
    </xf>
    <xf numFmtId="0" fontId="31" fillId="5" borderId="0" xfId="4" applyFont="1" applyFill="1" applyAlignment="1">
      <alignment horizontal="center" vertical="center"/>
    </xf>
    <xf numFmtId="0" fontId="30" fillId="5" borderId="0" xfId="4" applyFont="1" applyFill="1" applyAlignment="1">
      <alignment horizontal="center" vertical="center"/>
    </xf>
    <xf numFmtId="0" fontId="30" fillId="5" borderId="1" xfId="4" applyFont="1" applyFill="1" applyBorder="1" applyAlignment="1">
      <alignment horizontal="center" vertical="center" wrapText="1"/>
    </xf>
    <xf numFmtId="0" fontId="30" fillId="3" borderId="1" xfId="4" applyFont="1" applyFill="1" applyBorder="1" applyAlignment="1">
      <alignment horizontal="center" vertical="center" wrapText="1"/>
    </xf>
    <xf numFmtId="183" fontId="30" fillId="3" borderId="1" xfId="4" applyNumberFormat="1" applyFont="1" applyFill="1" applyBorder="1" applyAlignment="1">
      <alignment horizontal="center" vertical="center" wrapText="1"/>
    </xf>
    <xf numFmtId="0" fontId="29" fillId="5" borderId="1" xfId="4" applyFont="1" applyFill="1" applyBorder="1" applyAlignment="1">
      <alignment horizontal="center" vertical="center" wrapText="1"/>
    </xf>
    <xf numFmtId="0" fontId="29" fillId="0" borderId="1" xfId="4" applyFont="1" applyBorder="1" applyAlignment="1">
      <alignment horizontal="center" vertical="center"/>
    </xf>
    <xf numFmtId="179" fontId="0" fillId="0" borderId="0" xfId="4" applyNumberFormat="1" applyFont="1" applyAlignment="1">
      <alignment horizontal="center" vertical="center" wrapText="1"/>
    </xf>
    <xf numFmtId="179" fontId="1" fillId="0" borderId="0" xfId="4" applyNumberFormat="1" applyAlignment="1">
      <alignment horizontal="center" vertical="center" wrapText="1"/>
    </xf>
    <xf numFmtId="0" fontId="30" fillId="0" borderId="1" xfId="4" applyFont="1" applyBorder="1" applyAlignment="1">
      <alignment horizontal="center" vertical="center"/>
    </xf>
    <xf numFmtId="0" fontId="30" fillId="0" borderId="1" xfId="4" applyFont="1" applyBorder="1" applyAlignment="1">
      <alignment horizontal="left" vertical="center"/>
    </xf>
    <xf numFmtId="0" fontId="29" fillId="0" borderId="5" xfId="4" applyFont="1" applyBorder="1" applyAlignment="1">
      <alignment horizontal="center" vertical="center" wrapText="1"/>
    </xf>
    <xf numFmtId="0" fontId="29" fillId="0" borderId="6" xfId="4" applyFont="1" applyBorder="1" applyAlignment="1">
      <alignment horizontal="center" vertical="center" wrapText="1"/>
    </xf>
    <xf numFmtId="0" fontId="29" fillId="0" borderId="7" xfId="4" applyFont="1" applyBorder="1" applyAlignment="1">
      <alignment horizontal="center" vertical="center" wrapText="1"/>
    </xf>
    <xf numFmtId="0" fontId="58" fillId="0" borderId="1" xfId="4" applyFont="1" applyBorder="1" applyAlignment="1">
      <alignment horizontal="center" vertical="center" wrapText="1"/>
    </xf>
    <xf numFmtId="185" fontId="0" fillId="0" borderId="0" xfId="4" applyNumberFormat="1" applyFont="1" applyAlignment="1">
      <alignment horizontal="center" vertical="center" wrapText="1"/>
    </xf>
    <xf numFmtId="185" fontId="1" fillId="0" borderId="0" xfId="4" applyNumberFormat="1" applyAlignment="1">
      <alignment horizontal="center" vertical="center" wrapText="1"/>
    </xf>
    <xf numFmtId="0" fontId="0" fillId="0" borderId="0" xfId="4" applyFont="1" applyAlignment="1">
      <alignment horizontal="center" vertical="center" wrapText="1"/>
    </xf>
    <xf numFmtId="0" fontId="1" fillId="0" borderId="0" xfId="4" applyAlignment="1">
      <alignment horizontal="center" vertical="center" wrapText="1"/>
    </xf>
    <xf numFmtId="176" fontId="30" fillId="3" borderId="1" xfId="4" applyNumberFormat="1" applyFont="1" applyFill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177" fontId="29" fillId="5" borderId="1" xfId="4" applyNumberFormat="1" applyFont="1" applyFill="1" applyBorder="1" applyAlignment="1">
      <alignment horizontal="center" vertical="center" wrapText="1"/>
    </xf>
    <xf numFmtId="177" fontId="30" fillId="5" borderId="1" xfId="4" applyNumberFormat="1" applyFont="1" applyFill="1" applyBorder="1" applyAlignment="1">
      <alignment horizontal="center" vertical="center" wrapText="1"/>
    </xf>
    <xf numFmtId="177" fontId="30" fillId="0" borderId="1" xfId="4" applyNumberFormat="1" applyFont="1" applyBorder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177" fontId="5" fillId="0" borderId="2" xfId="1" applyNumberFormat="1" applyFont="1" applyBorder="1" applyAlignment="1">
      <alignment horizontal="center" vertical="center"/>
    </xf>
    <xf numFmtId="177" fontId="5" fillId="0" borderId="3" xfId="1" applyNumberFormat="1" applyFont="1" applyBorder="1" applyAlignment="1">
      <alignment horizontal="center" vertical="center"/>
    </xf>
    <xf numFmtId="177" fontId="5" fillId="0" borderId="4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 wrapText="1"/>
    </xf>
    <xf numFmtId="176" fontId="8" fillId="0" borderId="1" xfId="1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5" fillId="0" borderId="5" xfId="1" applyNumberFormat="1" applyFont="1" applyBorder="1" applyAlignment="1">
      <alignment horizontal="center" vertical="center" wrapText="1"/>
    </xf>
    <xf numFmtId="176" fontId="8" fillId="0" borderId="6" xfId="1" applyNumberFormat="1" applyFont="1" applyBorder="1" applyAlignment="1">
      <alignment horizontal="center" vertical="center" wrapText="1"/>
    </xf>
    <xf numFmtId="176" fontId="8" fillId="0" borderId="7" xfId="1" applyNumberFormat="1" applyFont="1" applyBorder="1" applyAlignment="1">
      <alignment horizontal="center" vertical="center" wrapText="1"/>
    </xf>
    <xf numFmtId="176" fontId="8" fillId="0" borderId="5" xfId="1" applyNumberFormat="1" applyFont="1" applyBorder="1" applyAlignment="1">
      <alignment horizontal="center" vertical="center" wrapText="1"/>
    </xf>
    <xf numFmtId="177" fontId="5" fillId="0" borderId="5" xfId="1" applyNumberFormat="1" applyFont="1" applyBorder="1" applyAlignment="1">
      <alignment horizontal="center" vertical="center" wrapText="1"/>
    </xf>
    <xf numFmtId="177" fontId="5" fillId="0" borderId="6" xfId="1" applyNumberFormat="1" applyFont="1" applyBorder="1" applyAlignment="1">
      <alignment horizontal="center" vertical="center" wrapText="1"/>
    </xf>
    <xf numFmtId="177" fontId="5" fillId="0" borderId="7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justify"/>
    </xf>
    <xf numFmtId="0" fontId="5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1" fillId="2" borderId="0" xfId="1" applyFill="1" applyAlignment="1">
      <alignment horizontal="center" vertical="center"/>
    </xf>
    <xf numFmtId="177" fontId="5" fillId="0" borderId="5" xfId="1" applyNumberFormat="1" applyFont="1" applyBorder="1" applyAlignment="1">
      <alignment horizontal="center" vertical="center"/>
    </xf>
    <xf numFmtId="177" fontId="5" fillId="0" borderId="6" xfId="1" applyNumberFormat="1" applyFont="1" applyBorder="1" applyAlignment="1">
      <alignment horizontal="center" vertical="center"/>
    </xf>
    <xf numFmtId="177" fontId="5" fillId="0" borderId="7" xfId="1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77" fontId="5" fillId="0" borderId="12" xfId="1" applyNumberFormat="1" applyFont="1" applyBorder="1" applyAlignment="1">
      <alignment horizontal="center" vertical="center" wrapText="1"/>
    </xf>
    <xf numFmtId="177" fontId="5" fillId="0" borderId="13" xfId="1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/>
    </xf>
    <xf numFmtId="0" fontId="14" fillId="0" borderId="1" xfId="1" applyFont="1" applyBorder="1" applyAlignment="1">
      <alignment horizontal="left" vertical="center"/>
    </xf>
    <xf numFmtId="0" fontId="22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/>
    </xf>
    <xf numFmtId="0" fontId="0" fillId="0" borderId="2" xfId="1" applyFont="1" applyBorder="1" applyAlignment="1">
      <alignment horizontal="left" vertical="center"/>
    </xf>
    <xf numFmtId="0" fontId="0" fillId="0" borderId="3" xfId="1" applyFont="1" applyBorder="1" applyAlignment="1">
      <alignment horizontal="left" vertical="center"/>
    </xf>
    <xf numFmtId="0" fontId="0" fillId="0" borderId="4" xfId="1" applyFont="1" applyBorder="1" applyAlignment="1">
      <alignment horizontal="left" vertical="center"/>
    </xf>
    <xf numFmtId="0" fontId="23" fillId="0" borderId="1" xfId="1" applyFont="1" applyBorder="1" applyAlignment="1">
      <alignment horizontal="center" vertical="center" wrapText="1"/>
    </xf>
    <xf numFmtId="178" fontId="47" fillId="0" borderId="0" xfId="4" applyNumberFormat="1" applyFont="1" applyAlignment="1">
      <alignment horizontal="center"/>
    </xf>
    <xf numFmtId="178" fontId="38" fillId="0" borderId="0" xfId="4" applyNumberFormat="1" applyFont="1" applyAlignment="1">
      <alignment horizontal="center"/>
    </xf>
    <xf numFmtId="0" fontId="22" fillId="0" borderId="1" xfId="4" applyFont="1" applyBorder="1" applyAlignment="1">
      <alignment horizontal="center" vertical="center" wrapText="1"/>
    </xf>
    <xf numFmtId="0" fontId="11" fillId="0" borderId="18" xfId="4" applyFont="1" applyBorder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23" fillId="0" borderId="1" xfId="4" applyFont="1" applyBorder="1" applyAlignment="1">
      <alignment horizontal="center" vertical="center" wrapText="1"/>
    </xf>
    <xf numFmtId="0" fontId="11" fillId="0" borderId="1" xfId="4" applyFont="1" applyBorder="1" applyAlignment="1">
      <alignment horizontal="center" vertical="center" wrapText="1"/>
    </xf>
    <xf numFmtId="0" fontId="22" fillId="0" borderId="1" xfId="4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179" fontId="11" fillId="0" borderId="1" xfId="4" applyNumberFormat="1" applyFont="1" applyBorder="1" applyAlignment="1">
      <alignment horizontal="center" vertical="center"/>
    </xf>
    <xf numFmtId="0" fontId="22" fillId="0" borderId="12" xfId="4" applyFont="1" applyBorder="1" applyAlignment="1">
      <alignment horizontal="center" vertical="center" wrapText="1"/>
    </xf>
    <xf numFmtId="0" fontId="22" fillId="0" borderId="17" xfId="4" applyFont="1" applyBorder="1" applyAlignment="1">
      <alignment horizontal="center" vertical="center" wrapText="1"/>
    </xf>
    <xf numFmtId="0" fontId="22" fillId="0" borderId="13" xfId="4" applyFont="1" applyBorder="1" applyAlignment="1">
      <alignment horizontal="center" vertical="center" wrapText="1"/>
    </xf>
    <xf numFmtId="0" fontId="22" fillId="0" borderId="14" xfId="4" applyFont="1" applyBorder="1" applyAlignment="1">
      <alignment horizontal="center" vertical="center" wrapText="1"/>
    </xf>
    <xf numFmtId="0" fontId="22" fillId="0" borderId="15" xfId="4" applyFont="1" applyBorder="1" applyAlignment="1">
      <alignment horizontal="center" vertical="center" wrapText="1"/>
    </xf>
    <xf numFmtId="0" fontId="22" fillId="0" borderId="16" xfId="4" applyFont="1" applyBorder="1" applyAlignment="1">
      <alignment horizontal="center" vertical="center" wrapText="1"/>
    </xf>
    <xf numFmtId="177" fontId="0" fillId="0" borderId="2" xfId="4" applyNumberFormat="1" applyFont="1" applyBorder="1" applyAlignment="1">
      <alignment horizontal="center" vertical="center"/>
    </xf>
    <xf numFmtId="177" fontId="0" fillId="0" borderId="4" xfId="4" applyNumberFormat="1" applyFont="1" applyBorder="1" applyAlignment="1">
      <alignment horizontal="center" vertical="center"/>
    </xf>
    <xf numFmtId="177" fontId="11" fillId="0" borderId="5" xfId="4" applyNumberFormat="1" applyFont="1" applyBorder="1" applyAlignment="1">
      <alignment horizontal="center" vertical="center"/>
    </xf>
    <xf numFmtId="177" fontId="11" fillId="0" borderId="6" xfId="4" applyNumberFormat="1" applyFont="1" applyBorder="1" applyAlignment="1">
      <alignment horizontal="center" vertical="center"/>
    </xf>
    <xf numFmtId="177" fontId="11" fillId="0" borderId="7" xfId="4" applyNumberFormat="1" applyFont="1" applyBorder="1" applyAlignment="1">
      <alignment horizontal="center" vertical="center"/>
    </xf>
    <xf numFmtId="178" fontId="11" fillId="0" borderId="5" xfId="4" applyNumberFormat="1" applyFont="1" applyBorder="1" applyAlignment="1">
      <alignment horizontal="center" vertical="center"/>
    </xf>
    <xf numFmtId="178" fontId="11" fillId="0" borderId="6" xfId="4" applyNumberFormat="1" applyFont="1" applyBorder="1" applyAlignment="1">
      <alignment horizontal="center" vertical="center"/>
    </xf>
    <xf numFmtId="178" fontId="11" fillId="0" borderId="7" xfId="4" applyNumberFormat="1" applyFont="1" applyBorder="1" applyAlignment="1">
      <alignment horizontal="center" vertical="center"/>
    </xf>
    <xf numFmtId="177" fontId="0" fillId="0" borderId="5" xfId="4" applyNumberFormat="1" applyFont="1" applyBorder="1" applyAlignment="1">
      <alignment horizontal="center" vertical="center"/>
    </xf>
    <xf numFmtId="177" fontId="0" fillId="0" borderId="7" xfId="4" applyNumberFormat="1" applyFont="1" applyBorder="1" applyAlignment="1">
      <alignment horizontal="center" vertical="center"/>
    </xf>
    <xf numFmtId="177" fontId="0" fillId="0" borderId="5" xfId="4" applyNumberFormat="1" applyFont="1" applyBorder="1" applyAlignment="1">
      <alignment horizontal="center" vertical="center" wrapText="1"/>
    </xf>
    <xf numFmtId="177" fontId="11" fillId="0" borderId="5" xfId="4" applyNumberFormat="1" applyFont="1" applyBorder="1" applyAlignment="1">
      <alignment horizontal="center" vertical="center" wrapText="1"/>
    </xf>
    <xf numFmtId="177" fontId="11" fillId="0" borderId="7" xfId="4" applyNumberFormat="1" applyFont="1" applyBorder="1" applyAlignment="1">
      <alignment horizontal="center" vertical="center" wrapText="1"/>
    </xf>
    <xf numFmtId="0" fontId="37" fillId="0" borderId="5" xfId="4" applyFont="1" applyBorder="1" applyAlignment="1">
      <alignment horizontal="center" vertical="center" wrapText="1"/>
    </xf>
    <xf numFmtId="0" fontId="37" fillId="0" borderId="7" xfId="4" applyFont="1" applyBorder="1" applyAlignment="1">
      <alignment horizontal="center" vertical="center" wrapText="1"/>
    </xf>
    <xf numFmtId="0" fontId="45" fillId="5" borderId="0" xfId="4" applyFont="1" applyFill="1" applyAlignment="1">
      <alignment horizontal="center" vertical="center"/>
    </xf>
    <xf numFmtId="0" fontId="0" fillId="5" borderId="0" xfId="4" applyFont="1" applyFill="1" applyAlignment="1">
      <alignment horizontal="center" vertical="center"/>
    </xf>
    <xf numFmtId="0" fontId="1" fillId="5" borderId="0" xfId="4" applyFill="1" applyAlignment="1">
      <alignment horizontal="center" vertical="center"/>
    </xf>
    <xf numFmtId="0" fontId="0" fillId="5" borderId="0" xfId="4" applyFont="1" applyFill="1" applyAlignment="1">
      <alignment horizontal="right" vertical="center"/>
    </xf>
    <xf numFmtId="0" fontId="1" fillId="5" borderId="0" xfId="4" applyFill="1" applyAlignment="1">
      <alignment horizontal="right" vertical="center"/>
    </xf>
    <xf numFmtId="0" fontId="1" fillId="5" borderId="1" xfId="4" applyFill="1" applyBorder="1" applyAlignment="1">
      <alignment horizontal="center" vertical="center" wrapText="1"/>
    </xf>
    <xf numFmtId="0" fontId="1" fillId="3" borderId="1" xfId="4" applyFill="1" applyBorder="1" applyAlignment="1">
      <alignment horizontal="center" vertical="center" wrapText="1"/>
    </xf>
    <xf numFmtId="183" fontId="1" fillId="5" borderId="1" xfId="4" applyNumberFormat="1" applyFill="1" applyBorder="1" applyAlignment="1">
      <alignment horizontal="center" vertical="center" wrapText="1"/>
    </xf>
    <xf numFmtId="177" fontId="1" fillId="0" borderId="1" xfId="4" applyNumberFormat="1" applyBorder="1" applyAlignment="1">
      <alignment horizontal="center" vertical="center" wrapText="1"/>
    </xf>
    <xf numFmtId="0" fontId="1" fillId="0" borderId="1" xfId="4" applyBorder="1" applyAlignment="1">
      <alignment horizontal="center" vertical="center" wrapText="1"/>
    </xf>
    <xf numFmtId="0" fontId="1" fillId="0" borderId="12" xfId="4" applyBorder="1" applyAlignment="1">
      <alignment horizontal="center" vertical="center" wrapText="1"/>
    </xf>
    <xf numFmtId="0" fontId="1" fillId="0" borderId="14" xfId="4" applyBorder="1" applyAlignment="1">
      <alignment horizontal="center" vertical="center" wrapText="1"/>
    </xf>
    <xf numFmtId="0" fontId="1" fillId="3" borderId="0" xfId="4" applyFill="1" applyAlignment="1">
      <alignment horizontal="center" vertical="center" wrapText="1"/>
    </xf>
    <xf numFmtId="0" fontId="1" fillId="6" borderId="0" xfId="4" applyFill="1" applyAlignment="1">
      <alignment horizontal="center" vertical="center" wrapText="1"/>
    </xf>
    <xf numFmtId="0" fontId="1" fillId="5" borderId="12" xfId="4" applyFill="1" applyBorder="1" applyAlignment="1">
      <alignment horizontal="center" vertical="center" wrapText="1"/>
    </xf>
    <xf numFmtId="0" fontId="1" fillId="5" borderId="17" xfId="4" applyFill="1" applyBorder="1" applyAlignment="1">
      <alignment horizontal="center" vertical="center" wrapText="1"/>
    </xf>
    <xf numFmtId="186" fontId="1" fillId="5" borderId="1" xfId="4" applyNumberFormat="1" applyFill="1" applyBorder="1" applyAlignment="1">
      <alignment horizontal="center" vertical="center" wrapText="1"/>
    </xf>
    <xf numFmtId="0" fontId="1" fillId="5" borderId="5" xfId="4" applyFill="1" applyBorder="1" applyAlignment="1">
      <alignment horizontal="center" vertical="center" wrapText="1"/>
    </xf>
    <xf numFmtId="0" fontId="1" fillId="5" borderId="7" xfId="4" applyFill="1" applyBorder="1" applyAlignment="1">
      <alignment horizontal="center" vertical="center" wrapText="1"/>
    </xf>
    <xf numFmtId="0" fontId="1" fillId="0" borderId="1" xfId="4" applyBorder="1" applyAlignment="1">
      <alignment horizontal="center" vertical="center"/>
    </xf>
    <xf numFmtId="0" fontId="1" fillId="0" borderId="1" xfId="4" applyBorder="1" applyAlignment="1">
      <alignment horizontal="left" vertical="center"/>
    </xf>
    <xf numFmtId="182" fontId="1" fillId="0" borderId="1" xfId="4" applyNumberFormat="1" applyBorder="1" applyAlignment="1">
      <alignment horizontal="center" vertical="center"/>
    </xf>
    <xf numFmtId="0" fontId="39" fillId="0" borderId="1" xfId="4" applyFont="1" applyBorder="1" applyAlignment="1">
      <alignment horizontal="left" vertical="center"/>
    </xf>
    <xf numFmtId="0" fontId="39" fillId="0" borderId="1" xfId="4" applyFont="1" applyBorder="1" applyAlignment="1">
      <alignment horizontal="center" vertical="center"/>
    </xf>
  </cellXfs>
  <cellStyles count="17">
    <cellStyle name="常规" xfId="0" builtinId="0"/>
    <cellStyle name="常规 13" xfId="5" xr:uid="{00000000-0005-0000-0000-000001000000}"/>
    <cellStyle name="常规 13 2" xfId="15" xr:uid="{00000000-0005-0000-0000-000002000000}"/>
    <cellStyle name="常规 2" xfId="4" xr:uid="{00000000-0005-0000-0000-000003000000}"/>
    <cellStyle name="常规 2 2" xfId="16" xr:uid="{00000000-0005-0000-0000-000004000000}"/>
    <cellStyle name="常规 2 3 2" xfId="14" xr:uid="{00000000-0005-0000-0000-000005000000}"/>
    <cellStyle name="常规 2 6" xfId="7" xr:uid="{00000000-0005-0000-0000-000006000000}"/>
    <cellStyle name="常规 3" xfId="9" xr:uid="{00000000-0005-0000-0000-000007000000}"/>
    <cellStyle name="常规 3 2" xfId="8" xr:uid="{00000000-0005-0000-0000-000008000000}"/>
    <cellStyle name="常规 3 2 2" xfId="11" xr:uid="{00000000-0005-0000-0000-000009000000}"/>
    <cellStyle name="常规 6" xfId="10" xr:uid="{00000000-0005-0000-0000-00000A000000}"/>
    <cellStyle name="常规 6 3" xfId="12" xr:uid="{00000000-0005-0000-0000-00000B000000}"/>
    <cellStyle name="常规 6 4" xfId="13" xr:uid="{00000000-0005-0000-0000-00000C000000}"/>
    <cellStyle name="常规 8" xfId="6" xr:uid="{00000000-0005-0000-0000-00000D000000}"/>
    <cellStyle name="常规_检查井内工程量444" xfId="3" xr:uid="{00000000-0005-0000-0000-00000E000000}"/>
    <cellStyle name="常规_新村大道工程量总表444" xfId="1" xr:uid="{00000000-0005-0000-0000-00000F000000}"/>
    <cellStyle name="常规_自动工程量计算（自修改）改进" xfId="2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12</xdr:col>
      <xdr:colOff>0</xdr:colOff>
      <xdr:row>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2963ECA9-2250-481D-9DA8-77A88B6DCA39}"/>
            </a:ext>
          </a:extLst>
        </xdr:cNvPr>
        <xdr:cNvSpPr>
          <a:spLocks noChangeShapeType="1"/>
        </xdr:cNvSpPr>
      </xdr:nvSpPr>
      <xdr:spPr bwMode="auto">
        <a:xfrm flipH="1">
          <a:off x="8953500" y="381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34</xdr:row>
      <xdr:rowOff>0</xdr:rowOff>
    </xdr:from>
    <xdr:to>
      <xdr:col>12</xdr:col>
      <xdr:colOff>0</xdr:colOff>
      <xdr:row>34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FFA8B350-B4CA-429B-926E-438C224C8803}"/>
            </a:ext>
          </a:extLst>
        </xdr:cNvPr>
        <xdr:cNvSpPr>
          <a:spLocks noChangeShapeType="1"/>
        </xdr:cNvSpPr>
      </xdr:nvSpPr>
      <xdr:spPr bwMode="auto">
        <a:xfrm flipH="1">
          <a:off x="8953500" y="7515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</xdr:row>
      <xdr:rowOff>0</xdr:rowOff>
    </xdr:from>
    <xdr:to>
      <xdr:col>12</xdr:col>
      <xdr:colOff>0</xdr:colOff>
      <xdr:row>1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2C9ECFAD-8E8D-4631-8212-FE1731F29077}"/>
            </a:ext>
          </a:extLst>
        </xdr:cNvPr>
        <xdr:cNvSpPr>
          <a:spLocks noChangeShapeType="1"/>
        </xdr:cNvSpPr>
      </xdr:nvSpPr>
      <xdr:spPr bwMode="auto">
        <a:xfrm flipH="1">
          <a:off x="8953500" y="381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</xdr:row>
      <xdr:rowOff>0</xdr:rowOff>
    </xdr:from>
    <xdr:to>
      <xdr:col>12</xdr:col>
      <xdr:colOff>0</xdr:colOff>
      <xdr:row>1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979C51BD-4B0A-43F8-8552-42C942062378}"/>
            </a:ext>
          </a:extLst>
        </xdr:cNvPr>
        <xdr:cNvSpPr>
          <a:spLocks noChangeShapeType="1"/>
        </xdr:cNvSpPr>
      </xdr:nvSpPr>
      <xdr:spPr bwMode="auto">
        <a:xfrm flipH="1">
          <a:off x="8953500" y="381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</xdr:row>
      <xdr:rowOff>0</xdr:rowOff>
    </xdr:from>
    <xdr:to>
      <xdr:col>12</xdr:col>
      <xdr:colOff>0</xdr:colOff>
      <xdr:row>1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7647CC44-70BD-474C-9A71-42ED5B981A5C}"/>
            </a:ext>
          </a:extLst>
        </xdr:cNvPr>
        <xdr:cNvSpPr>
          <a:spLocks noChangeShapeType="1"/>
        </xdr:cNvSpPr>
      </xdr:nvSpPr>
      <xdr:spPr bwMode="auto">
        <a:xfrm flipH="1">
          <a:off x="8953500" y="381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"/>
  <sheetViews>
    <sheetView tabSelected="1" view="pageBreakPreview" zoomScale="85" zoomScaleNormal="100" zoomScaleSheetLayoutView="85" workbookViewId="0">
      <selection activeCell="J12" sqref="J12"/>
    </sheetView>
  </sheetViews>
  <sheetFormatPr defaultColWidth="9" defaultRowHeight="14.25" x14ac:dyDescent="0.15"/>
  <cols>
    <col min="1" max="1" width="10.625" style="23" customWidth="1"/>
    <col min="2" max="2" width="36.125" style="23" customWidth="1"/>
    <col min="3" max="4" width="10.625" style="23" customWidth="1"/>
    <col min="5" max="5" width="28.125" style="23" customWidth="1"/>
    <col min="6" max="6" width="0" style="23" hidden="1" customWidth="1"/>
    <col min="7" max="7" width="10.625" style="23" customWidth="1"/>
    <col min="8" max="8" width="39.5" style="23" customWidth="1"/>
    <col min="9" max="10" width="10.625" style="23" customWidth="1"/>
    <col min="11" max="11" width="44.5" style="23" customWidth="1"/>
    <col min="12" max="16384" width="9" style="23"/>
  </cols>
  <sheetData>
    <row r="1" spans="1:18" ht="33.75" customHeight="1" x14ac:dyDescent="0.15">
      <c r="A1" s="300" t="s">
        <v>313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</row>
    <row r="2" spans="1:18" ht="18.75" customHeight="1" x14ac:dyDescent="0.15">
      <c r="A2" s="234"/>
      <c r="B2" s="235"/>
      <c r="C2" s="235"/>
      <c r="D2" s="235"/>
      <c r="E2" s="235"/>
      <c r="F2" s="235"/>
      <c r="G2" s="79" t="s">
        <v>376</v>
      </c>
      <c r="H2" s="235"/>
      <c r="I2" s="235"/>
      <c r="J2" s="235"/>
      <c r="K2" s="149" t="s">
        <v>442</v>
      </c>
    </row>
    <row r="3" spans="1:18" s="31" customFormat="1" ht="22.5" customHeight="1" x14ac:dyDescent="0.25">
      <c r="A3" s="79" t="s">
        <v>404</v>
      </c>
      <c r="B3" s="79"/>
      <c r="C3" s="79"/>
      <c r="D3" s="79"/>
      <c r="E3" s="32"/>
      <c r="F3" s="32"/>
      <c r="H3" s="79"/>
      <c r="I3" s="32"/>
      <c r="J3" s="32"/>
      <c r="K3" s="149" t="s">
        <v>406</v>
      </c>
    </row>
    <row r="4" spans="1:18" ht="19.899999999999999" customHeight="1" x14ac:dyDescent="0.15">
      <c r="A4" s="35" t="s">
        <v>44</v>
      </c>
      <c r="B4" s="35" t="s">
        <v>45</v>
      </c>
      <c r="C4" s="35" t="s">
        <v>46</v>
      </c>
      <c r="D4" s="35" t="s">
        <v>47</v>
      </c>
      <c r="E4" s="35" t="s">
        <v>48</v>
      </c>
      <c r="F4" s="35"/>
      <c r="G4" s="35" t="s">
        <v>49</v>
      </c>
      <c r="H4" s="35" t="s">
        <v>50</v>
      </c>
      <c r="I4" s="35" t="s">
        <v>51</v>
      </c>
      <c r="J4" s="35" t="s">
        <v>47</v>
      </c>
      <c r="K4" s="35" t="s">
        <v>48</v>
      </c>
    </row>
    <row r="5" spans="1:18" ht="19.899999999999999" customHeight="1" x14ac:dyDescent="0.15">
      <c r="A5" s="36">
        <v>1</v>
      </c>
      <c r="B5" s="313" t="s">
        <v>409</v>
      </c>
      <c r="C5" s="314"/>
      <c r="D5" s="314"/>
      <c r="E5" s="315"/>
      <c r="F5" s="35"/>
      <c r="G5" s="36">
        <v>30</v>
      </c>
      <c r="H5" s="313" t="s">
        <v>242</v>
      </c>
      <c r="I5" s="314"/>
      <c r="J5" s="314"/>
      <c r="K5" s="315"/>
    </row>
    <row r="6" spans="1:18" ht="19.899999999999999" customHeight="1" x14ac:dyDescent="0.15">
      <c r="A6" s="36">
        <v>2</v>
      </c>
      <c r="B6" s="257" t="s">
        <v>440</v>
      </c>
      <c r="C6" s="272">
        <f>管道!L14</f>
        <v>7</v>
      </c>
      <c r="D6" s="257" t="s">
        <v>52</v>
      </c>
      <c r="E6" s="316" t="s">
        <v>386</v>
      </c>
      <c r="F6" s="35"/>
      <c r="G6" s="36">
        <v>31</v>
      </c>
      <c r="H6" s="303" t="s">
        <v>383</v>
      </c>
      <c r="I6" s="304">
        <f>(3.5*152.7)+ (2*110.8+3*63.4)+(2.14*126)</f>
        <v>1215.8899999999999</v>
      </c>
      <c r="J6" s="303" t="s">
        <v>384</v>
      </c>
      <c r="K6" s="305" t="s">
        <v>385</v>
      </c>
      <c r="N6" s="29" t="s">
        <v>419</v>
      </c>
    </row>
    <row r="7" spans="1:18" ht="19.899999999999999" customHeight="1" x14ac:dyDescent="0.15">
      <c r="A7" s="36">
        <v>3</v>
      </c>
      <c r="B7" s="257" t="s">
        <v>433</v>
      </c>
      <c r="C7" s="272">
        <f>管道!L15+砼全包管!D8</f>
        <v>319</v>
      </c>
      <c r="D7" s="257" t="s">
        <v>52</v>
      </c>
      <c r="E7" s="317"/>
      <c r="F7" s="36"/>
      <c r="G7" s="36">
        <v>32</v>
      </c>
      <c r="H7" s="303"/>
      <c r="I7" s="304"/>
      <c r="J7" s="303"/>
      <c r="K7" s="305"/>
      <c r="N7" s="29" t="s">
        <v>420</v>
      </c>
    </row>
    <row r="8" spans="1:18" ht="19.899999999999999" customHeight="1" x14ac:dyDescent="0.15">
      <c r="A8" s="36">
        <v>4</v>
      </c>
      <c r="B8" s="257"/>
      <c r="C8" s="272"/>
      <c r="D8" s="257"/>
      <c r="E8" s="276"/>
      <c r="F8" s="36"/>
      <c r="G8" s="36">
        <v>33</v>
      </c>
      <c r="H8" s="199" t="s">
        <v>387</v>
      </c>
      <c r="I8" s="277">
        <f>25*8*38/1000</f>
        <v>7.6</v>
      </c>
      <c r="J8" s="244" t="s">
        <v>388</v>
      </c>
      <c r="K8" s="306" t="s">
        <v>436</v>
      </c>
    </row>
    <row r="9" spans="1:18" ht="19.899999999999999" customHeight="1" x14ac:dyDescent="0.15">
      <c r="A9" s="36">
        <v>5</v>
      </c>
      <c r="B9" s="257" t="s">
        <v>441</v>
      </c>
      <c r="C9" s="257">
        <f>'钢筋砼污水检查井20S515 '!B57</f>
        <v>2</v>
      </c>
      <c r="D9" s="257" t="s">
        <v>435</v>
      </c>
      <c r="E9" s="308" t="s">
        <v>422</v>
      </c>
      <c r="F9" s="36"/>
      <c r="G9" s="36">
        <v>34</v>
      </c>
      <c r="H9" s="199" t="s">
        <v>390</v>
      </c>
      <c r="I9" s="273">
        <f>25*10</f>
        <v>250</v>
      </c>
      <c r="J9" s="244" t="s">
        <v>381</v>
      </c>
      <c r="K9" s="307"/>
      <c r="Q9" s="302"/>
      <c r="R9" s="302"/>
    </row>
    <row r="10" spans="1:18" ht="19.899999999999999" customHeight="1" x14ac:dyDescent="0.15">
      <c r="A10" s="36">
        <v>6</v>
      </c>
      <c r="B10" s="257" t="s">
        <v>434</v>
      </c>
      <c r="C10" s="257">
        <f>'钢筋砼污水检查井20S515 '!B58</f>
        <v>17</v>
      </c>
      <c r="D10" s="257" t="s">
        <v>435</v>
      </c>
      <c r="E10" s="309"/>
      <c r="F10" s="36"/>
      <c r="G10" s="36">
        <v>35</v>
      </c>
      <c r="H10" s="36" t="s">
        <v>424</v>
      </c>
      <c r="I10" s="257">
        <f>C9+C10+C16</f>
        <v>25</v>
      </c>
      <c r="J10" s="36" t="s">
        <v>425</v>
      </c>
      <c r="K10" s="36"/>
      <c r="Q10" s="39"/>
      <c r="R10" s="39"/>
    </row>
    <row r="11" spans="1:18" ht="19.899999999999999" customHeight="1" x14ac:dyDescent="0.15">
      <c r="A11" s="36">
        <v>7</v>
      </c>
      <c r="B11" s="36"/>
      <c r="C11" s="36"/>
      <c r="D11" s="36"/>
      <c r="E11" s="192"/>
      <c r="F11" s="36"/>
      <c r="G11" s="36">
        <v>36</v>
      </c>
      <c r="H11" s="36" t="s">
        <v>426</v>
      </c>
      <c r="I11" s="257">
        <f>I10*8</f>
        <v>200</v>
      </c>
      <c r="J11" s="36" t="s">
        <v>427</v>
      </c>
      <c r="K11" s="36"/>
      <c r="Q11" s="39"/>
      <c r="R11" s="39"/>
    </row>
    <row r="12" spans="1:18" ht="19.5" customHeight="1" x14ac:dyDescent="0.15">
      <c r="A12" s="36">
        <v>8</v>
      </c>
      <c r="B12" s="310" t="s">
        <v>53</v>
      </c>
      <c r="C12" s="311"/>
      <c r="D12" s="311"/>
      <c r="E12" s="311"/>
      <c r="F12" s="312"/>
      <c r="G12" s="36">
        <v>37</v>
      </c>
      <c r="H12" s="36" t="s">
        <v>428</v>
      </c>
      <c r="I12" s="257">
        <f>I10</f>
        <v>25</v>
      </c>
      <c r="J12" s="36" t="s">
        <v>429</v>
      </c>
      <c r="K12" s="36"/>
      <c r="N12" s="29" t="s">
        <v>421</v>
      </c>
      <c r="Q12" s="39"/>
      <c r="R12" s="39"/>
    </row>
    <row r="13" spans="1:18" ht="20.25" customHeight="1" x14ac:dyDescent="0.15">
      <c r="A13" s="36">
        <v>9</v>
      </c>
      <c r="B13" s="36" t="s">
        <v>430</v>
      </c>
      <c r="C13" s="274">
        <f>砼全包管!D7:D7</f>
        <v>46</v>
      </c>
      <c r="D13" s="36" t="s">
        <v>52</v>
      </c>
      <c r="E13" s="36" t="s">
        <v>382</v>
      </c>
      <c r="F13" s="36"/>
      <c r="G13" s="36">
        <v>38</v>
      </c>
      <c r="H13" s="192" t="s">
        <v>403</v>
      </c>
      <c r="I13" s="275">
        <f>(C6+C7+C14)*2</f>
        <v>954</v>
      </c>
      <c r="J13" s="36" t="s">
        <v>381</v>
      </c>
      <c r="K13" s="172"/>
      <c r="N13" s="302"/>
      <c r="O13" s="302"/>
      <c r="P13" s="302"/>
      <c r="Q13" s="39"/>
      <c r="R13" s="39"/>
    </row>
    <row r="14" spans="1:18" ht="18.75" customHeight="1" x14ac:dyDescent="0.15">
      <c r="A14" s="36">
        <v>10</v>
      </c>
      <c r="B14" s="36" t="s">
        <v>431</v>
      </c>
      <c r="C14" s="36">
        <f>管道!L12</f>
        <v>151</v>
      </c>
      <c r="D14" s="36" t="s">
        <v>52</v>
      </c>
      <c r="E14" s="192" t="s">
        <v>386</v>
      </c>
      <c r="F14" s="36"/>
      <c r="G14" s="36">
        <v>39</v>
      </c>
      <c r="H14" s="192"/>
      <c r="I14" s="192"/>
      <c r="J14" s="192"/>
      <c r="K14" s="186"/>
      <c r="N14" s="39"/>
      <c r="O14" s="39"/>
      <c r="P14" s="39"/>
      <c r="Q14" s="39"/>
      <c r="R14" s="39"/>
    </row>
    <row r="15" spans="1:18" ht="19.899999999999999" customHeight="1" x14ac:dyDescent="0.15">
      <c r="A15" s="36">
        <v>11</v>
      </c>
      <c r="B15" s="36"/>
      <c r="C15" s="229"/>
      <c r="D15" s="36"/>
      <c r="E15" s="243"/>
      <c r="F15" s="36"/>
      <c r="G15" s="36">
        <v>40</v>
      </c>
      <c r="H15" s="192"/>
      <c r="I15" s="192"/>
      <c r="J15" s="36"/>
      <c r="K15" s="298" t="s">
        <v>405</v>
      </c>
      <c r="N15" s="39"/>
      <c r="O15" s="39"/>
      <c r="P15" s="39"/>
      <c r="Q15" s="39"/>
      <c r="R15" s="39"/>
    </row>
    <row r="16" spans="1:18" ht="19.899999999999999" customHeight="1" x14ac:dyDescent="0.15">
      <c r="A16" s="36">
        <v>12</v>
      </c>
      <c r="B16" s="36" t="s">
        <v>417</v>
      </c>
      <c r="C16" s="36">
        <f>'钢筋砼污水检查井20S515 '!B44</f>
        <v>6</v>
      </c>
      <c r="D16" s="36" t="s">
        <v>423</v>
      </c>
      <c r="E16" s="36" t="s">
        <v>389</v>
      </c>
      <c r="F16" s="36"/>
      <c r="G16" s="36">
        <v>41</v>
      </c>
      <c r="H16" s="36" t="s">
        <v>416</v>
      </c>
      <c r="I16" s="36">
        <f>2</f>
        <v>2</v>
      </c>
      <c r="J16" s="36" t="s">
        <v>423</v>
      </c>
      <c r="K16" s="299"/>
      <c r="N16" s="39"/>
      <c r="O16" s="39"/>
      <c r="P16" s="39"/>
      <c r="Q16" s="30"/>
      <c r="R16" s="30"/>
    </row>
    <row r="17" spans="1:18" ht="19.899999999999999" hidden="1" customHeight="1" x14ac:dyDescent="0.15">
      <c r="A17" s="36">
        <v>13</v>
      </c>
      <c r="B17" s="36" t="s">
        <v>392</v>
      </c>
      <c r="C17" s="36">
        <f>'钢筋砼污水检查井20S515 '!B45</f>
        <v>0</v>
      </c>
      <c r="D17" s="36" t="s">
        <v>423</v>
      </c>
      <c r="E17" s="36" t="s">
        <v>389</v>
      </c>
      <c r="F17" s="36"/>
      <c r="G17" s="36">
        <v>42</v>
      </c>
      <c r="H17" s="36"/>
      <c r="I17" s="36"/>
      <c r="J17" s="36"/>
      <c r="K17" s="36"/>
      <c r="N17" s="39"/>
      <c r="O17" s="39"/>
      <c r="P17" s="39"/>
      <c r="Q17" s="30"/>
      <c r="R17" s="30"/>
    </row>
    <row r="18" spans="1:18" ht="19.899999999999999" hidden="1" customHeight="1" x14ac:dyDescent="0.15">
      <c r="A18" s="36">
        <v>14</v>
      </c>
      <c r="B18" s="36" t="s">
        <v>393</v>
      </c>
      <c r="C18" s="36">
        <f>'钢筋砼污水检查井20S515 '!B46</f>
        <v>0</v>
      </c>
      <c r="D18" s="36" t="s">
        <v>423</v>
      </c>
      <c r="E18" s="36" t="s">
        <v>389</v>
      </c>
      <c r="F18" s="36"/>
      <c r="G18" s="36">
        <v>43</v>
      </c>
      <c r="H18" s="36"/>
      <c r="I18" s="36"/>
      <c r="J18" s="36"/>
      <c r="K18" s="36"/>
      <c r="N18" s="39"/>
      <c r="O18" s="39"/>
      <c r="P18" s="39"/>
      <c r="Q18" s="30"/>
      <c r="R18" s="30"/>
    </row>
    <row r="19" spans="1:18" ht="19.899999999999999" hidden="1" customHeight="1" x14ac:dyDescent="0.15">
      <c r="A19" s="36">
        <v>15</v>
      </c>
      <c r="B19" s="36" t="s">
        <v>394</v>
      </c>
      <c r="C19" s="36">
        <f>'钢筋砼污水检查井20S515 '!B47</f>
        <v>0</v>
      </c>
      <c r="D19" s="36" t="s">
        <v>423</v>
      </c>
      <c r="E19" s="36" t="s">
        <v>389</v>
      </c>
      <c r="F19" s="36"/>
      <c r="G19" s="36">
        <v>44</v>
      </c>
      <c r="H19" s="36"/>
      <c r="I19" s="36"/>
      <c r="J19" s="36"/>
      <c r="K19" s="36"/>
      <c r="N19" s="39"/>
      <c r="O19" s="39"/>
      <c r="P19" s="39"/>
      <c r="Q19" s="30"/>
      <c r="R19" s="30"/>
    </row>
    <row r="20" spans="1:18" ht="19.899999999999999" hidden="1" customHeight="1" x14ac:dyDescent="0.15">
      <c r="A20" s="36">
        <v>16</v>
      </c>
      <c r="B20" s="36" t="s">
        <v>395</v>
      </c>
      <c r="C20" s="36">
        <f>'钢筋砼污水检查井20S515 '!B48</f>
        <v>0</v>
      </c>
      <c r="D20" s="36" t="s">
        <v>423</v>
      </c>
      <c r="E20" s="36" t="s">
        <v>389</v>
      </c>
      <c r="F20" s="36"/>
      <c r="G20" s="36">
        <v>45</v>
      </c>
      <c r="H20" s="36"/>
      <c r="I20" s="36"/>
      <c r="J20" s="36"/>
      <c r="K20" s="36"/>
      <c r="M20" s="29"/>
      <c r="N20" s="29"/>
      <c r="O20" s="30"/>
      <c r="P20" s="29"/>
    </row>
    <row r="21" spans="1:18" ht="19.899999999999999" hidden="1" customHeight="1" x14ac:dyDescent="0.15">
      <c r="A21" s="36">
        <v>17</v>
      </c>
      <c r="B21" s="36" t="s">
        <v>396</v>
      </c>
      <c r="C21" s="36">
        <f>'钢筋砼污水检查井20S515 '!B50</f>
        <v>0</v>
      </c>
      <c r="D21" s="36" t="s">
        <v>423</v>
      </c>
      <c r="E21" s="36" t="s">
        <v>389</v>
      </c>
      <c r="F21" s="36"/>
      <c r="G21" s="36">
        <v>46</v>
      </c>
      <c r="H21" s="36"/>
      <c r="I21" s="36"/>
      <c r="J21" s="36"/>
      <c r="K21" s="36"/>
      <c r="M21" s="29"/>
      <c r="N21" s="29"/>
      <c r="O21" s="30"/>
      <c r="P21" s="29"/>
    </row>
    <row r="22" spans="1:18" ht="19.899999999999999" hidden="1" customHeight="1" x14ac:dyDescent="0.15">
      <c r="A22" s="36">
        <v>18</v>
      </c>
      <c r="B22" s="36" t="s">
        <v>397</v>
      </c>
      <c r="C22" s="36">
        <f>'钢筋砼污水检查井20S515 '!B51</f>
        <v>0</v>
      </c>
      <c r="D22" s="36" t="s">
        <v>423</v>
      </c>
      <c r="E22" s="36" t="s">
        <v>389</v>
      </c>
      <c r="F22" s="36"/>
      <c r="G22" s="36">
        <v>47</v>
      </c>
      <c r="H22" s="36"/>
      <c r="I22" s="36"/>
      <c r="J22" s="36"/>
      <c r="K22" s="36"/>
      <c r="M22" s="29"/>
      <c r="N22" s="29"/>
      <c r="O22" s="30"/>
      <c r="P22" s="29"/>
    </row>
    <row r="23" spans="1:18" ht="19.899999999999999" hidden="1" customHeight="1" x14ac:dyDescent="0.15">
      <c r="A23" s="36">
        <v>19</v>
      </c>
      <c r="B23" s="36" t="s">
        <v>398</v>
      </c>
      <c r="C23" s="36">
        <f>钢筋砼雨水三通井20S515!B10</f>
        <v>0</v>
      </c>
      <c r="D23" s="36" t="s">
        <v>423</v>
      </c>
      <c r="E23" s="36" t="s">
        <v>399</v>
      </c>
      <c r="F23" s="36"/>
      <c r="G23" s="36">
        <v>48</v>
      </c>
      <c r="H23" s="36"/>
      <c r="I23" s="36"/>
      <c r="J23" s="36"/>
      <c r="K23" s="36"/>
      <c r="M23" s="29"/>
      <c r="N23" s="29"/>
      <c r="O23" s="30"/>
      <c r="P23" s="29"/>
    </row>
    <row r="24" spans="1:18" ht="19.899999999999999" hidden="1" customHeight="1" x14ac:dyDescent="0.15">
      <c r="A24" s="36">
        <v>20</v>
      </c>
      <c r="B24" s="36" t="s">
        <v>400</v>
      </c>
      <c r="C24" s="36">
        <f>钢筋砼雨水三通井20S515!B11</f>
        <v>0</v>
      </c>
      <c r="D24" s="36" t="s">
        <v>423</v>
      </c>
      <c r="E24" s="36" t="s">
        <v>399</v>
      </c>
      <c r="F24" s="36"/>
      <c r="G24" s="36">
        <v>49</v>
      </c>
      <c r="H24" s="36"/>
      <c r="I24" s="36"/>
      <c r="J24" s="36"/>
      <c r="K24" s="36"/>
    </row>
    <row r="25" spans="1:18" ht="19.899999999999999" hidden="1" customHeight="1" x14ac:dyDescent="0.15">
      <c r="A25" s="36">
        <v>21</v>
      </c>
      <c r="B25" s="36" t="s">
        <v>401</v>
      </c>
      <c r="C25" s="36">
        <f>钢筋砼雨水三通井20S515!B13</f>
        <v>0</v>
      </c>
      <c r="D25" s="36" t="s">
        <v>423</v>
      </c>
      <c r="E25" s="36" t="s">
        <v>399</v>
      </c>
      <c r="F25" s="36"/>
      <c r="G25" s="36">
        <v>50</v>
      </c>
      <c r="H25" s="36"/>
      <c r="I25" s="36"/>
      <c r="J25" s="36"/>
      <c r="K25" s="36"/>
    </row>
    <row r="26" spans="1:18" ht="19.899999999999999" hidden="1" customHeight="1" x14ac:dyDescent="0.15">
      <c r="A26" s="36">
        <v>22</v>
      </c>
      <c r="B26" s="36" t="s">
        <v>402</v>
      </c>
      <c r="C26" s="36">
        <f>钢筋砼雨水三通井20S515!B16</f>
        <v>0</v>
      </c>
      <c r="D26" s="36" t="s">
        <v>423</v>
      </c>
      <c r="E26" s="36" t="s">
        <v>399</v>
      </c>
      <c r="F26" s="36"/>
      <c r="G26" s="36">
        <v>51</v>
      </c>
      <c r="H26" s="36"/>
      <c r="I26" s="36"/>
      <c r="J26" s="36"/>
      <c r="K26" s="36"/>
    </row>
    <row r="27" spans="1:18" ht="19.899999999999999" customHeight="1" x14ac:dyDescent="0.15">
      <c r="A27" s="36">
        <v>23</v>
      </c>
      <c r="B27" s="36"/>
      <c r="C27" s="36"/>
      <c r="D27" s="36"/>
      <c r="E27" s="36"/>
      <c r="F27" s="36"/>
      <c r="G27" s="36">
        <v>52</v>
      </c>
      <c r="H27" s="36" t="s">
        <v>411</v>
      </c>
      <c r="I27" s="36">
        <v>11</v>
      </c>
      <c r="J27" s="36" t="s">
        <v>410</v>
      </c>
      <c r="K27" s="36" t="s">
        <v>412</v>
      </c>
    </row>
    <row r="28" spans="1:18" ht="21.75" customHeight="1" x14ac:dyDescent="0.15">
      <c r="A28" s="36">
        <v>24</v>
      </c>
      <c r="B28" s="36" t="s">
        <v>413</v>
      </c>
      <c r="C28" s="36">
        <f>预制混凝土雨水口!C8</f>
        <v>12</v>
      </c>
      <c r="D28" s="36" t="s">
        <v>423</v>
      </c>
      <c r="E28" s="36" t="s">
        <v>414</v>
      </c>
      <c r="F28" s="172"/>
      <c r="G28" s="36">
        <v>53</v>
      </c>
      <c r="H28" s="36"/>
      <c r="I28" s="36"/>
      <c r="J28" s="36"/>
      <c r="K28" s="36"/>
    </row>
    <row r="29" spans="1:18" ht="21.75" customHeight="1" x14ac:dyDescent="0.15">
      <c r="A29" s="36">
        <v>25</v>
      </c>
      <c r="B29" s="172"/>
      <c r="C29" s="172"/>
      <c r="D29" s="172"/>
      <c r="E29" s="36"/>
      <c r="F29" s="172"/>
      <c r="G29" s="36">
        <v>54</v>
      </c>
      <c r="H29" s="173"/>
      <c r="I29" s="229"/>
      <c r="J29" s="173"/>
      <c r="K29" s="295"/>
    </row>
    <row r="30" spans="1:18" ht="23.25" customHeight="1" x14ac:dyDescent="0.15">
      <c r="A30" s="36">
        <v>26</v>
      </c>
      <c r="B30" s="192"/>
      <c r="C30" s="36"/>
      <c r="D30" s="36"/>
      <c r="E30" s="36"/>
      <c r="F30" s="172"/>
      <c r="G30" s="36">
        <v>55</v>
      </c>
      <c r="H30" s="173"/>
      <c r="I30" s="229"/>
      <c r="J30" s="173"/>
      <c r="K30" s="296"/>
    </row>
    <row r="31" spans="1:18" ht="33.75" customHeight="1" x14ac:dyDescent="0.15">
      <c r="A31" s="36">
        <v>27</v>
      </c>
      <c r="B31" s="236" t="s">
        <v>432</v>
      </c>
      <c r="C31" s="272">
        <f>(C6+C7+C14)/5*7</f>
        <v>667.80000000000007</v>
      </c>
      <c r="D31" s="36" t="s">
        <v>391</v>
      </c>
      <c r="E31" s="172"/>
      <c r="F31" s="172"/>
      <c r="G31" s="36">
        <v>56</v>
      </c>
      <c r="H31" s="173"/>
      <c r="I31" s="229"/>
      <c r="J31" s="36"/>
      <c r="K31" s="297"/>
    </row>
    <row r="32" spans="1:18" ht="28.5" customHeight="1" x14ac:dyDescent="0.15">
      <c r="A32" s="36">
        <v>28</v>
      </c>
      <c r="B32" s="172"/>
      <c r="C32" s="172"/>
      <c r="D32" s="172"/>
      <c r="E32" s="172"/>
      <c r="F32" s="172"/>
      <c r="G32" s="36">
        <v>57</v>
      </c>
      <c r="H32" s="173"/>
      <c r="I32" s="229"/>
      <c r="J32" s="36"/>
      <c r="K32" s="246"/>
    </row>
    <row r="33" spans="1:11" ht="19.5" customHeight="1" x14ac:dyDescent="0.15">
      <c r="A33" s="36">
        <v>29</v>
      </c>
      <c r="B33" s="172"/>
      <c r="C33" s="172"/>
      <c r="D33" s="172"/>
      <c r="E33" s="172"/>
      <c r="F33" s="172"/>
      <c r="G33" s="36">
        <v>58</v>
      </c>
      <c r="H33" s="192"/>
      <c r="I33" s="192"/>
      <c r="J33" s="36"/>
      <c r="K33" s="172"/>
    </row>
  </sheetData>
  <mergeCells count="15">
    <mergeCell ref="K29:K31"/>
    <mergeCell ref="K15:K16"/>
    <mergeCell ref="A1:K1"/>
    <mergeCell ref="Q9:R9"/>
    <mergeCell ref="N13:P13"/>
    <mergeCell ref="H6:H7"/>
    <mergeCell ref="I6:I7"/>
    <mergeCell ref="J6:J7"/>
    <mergeCell ref="K6:K7"/>
    <mergeCell ref="K8:K9"/>
    <mergeCell ref="E9:E10"/>
    <mergeCell ref="B12:F12"/>
    <mergeCell ref="B5:E5"/>
    <mergeCell ref="H5:K5"/>
    <mergeCell ref="E6:E7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56"/>
  <sheetViews>
    <sheetView view="pageBreakPreview" topLeftCell="B1" zoomScale="55" zoomScaleNormal="55" zoomScaleSheetLayoutView="55" workbookViewId="0">
      <pane ySplit="6" topLeftCell="A7" activePane="bottomLeft" state="frozenSplit"/>
      <selection activeCell="E23" sqref="E23"/>
      <selection pane="bottomLeft" activeCell="N39" sqref="N39"/>
    </sheetView>
  </sheetViews>
  <sheetFormatPr defaultColWidth="9" defaultRowHeight="14.25" x14ac:dyDescent="0.15"/>
  <cols>
    <col min="1" max="1" width="40.625" style="137" hidden="1" customWidth="1"/>
    <col min="2" max="3" width="25.625" style="137" customWidth="1"/>
    <col min="4" max="11" width="25.625" style="136" hidden="1" customWidth="1"/>
    <col min="12" max="12" width="25.625" style="138" customWidth="1"/>
    <col min="13" max="13" width="25.75" style="137" customWidth="1"/>
    <col min="14" max="14" width="25.625" style="138" customWidth="1"/>
    <col min="15" max="15" width="25.625" style="137" customWidth="1"/>
    <col min="16" max="16" width="25.625" style="136" hidden="1" customWidth="1"/>
    <col min="17" max="17" width="25.625" style="140" hidden="1" customWidth="1"/>
    <col min="18" max="18" width="20.75" style="137" customWidth="1"/>
    <col min="19" max="19" width="25.625" style="141" customWidth="1"/>
    <col min="20" max="23" width="25.625" style="141" hidden="1" customWidth="1"/>
    <col min="24" max="24" width="25.625" style="142" customWidth="1"/>
    <col min="25" max="25" width="25.625" style="142" hidden="1" customWidth="1"/>
    <col min="26" max="28" width="25.625" style="142" customWidth="1"/>
    <col min="29" max="29" width="25.625" style="142" hidden="1" customWidth="1"/>
    <col min="30" max="30" width="52.75" style="137" customWidth="1"/>
    <col min="31" max="31" width="9" style="137" customWidth="1"/>
    <col min="32" max="32" width="11.375" style="137" customWidth="1"/>
    <col min="33" max="33" width="16.375" style="137" customWidth="1"/>
    <col min="34" max="34" width="18.625" style="144" customWidth="1"/>
    <col min="35" max="35" width="21" style="144" customWidth="1"/>
    <col min="36" max="36" width="15.625" style="144" customWidth="1"/>
    <col min="37" max="37" width="11.5" style="145" customWidth="1"/>
    <col min="38" max="38" width="10.375" style="137" customWidth="1"/>
    <col min="39" max="16384" width="9" style="137"/>
  </cols>
  <sheetData>
    <row r="1" spans="1:39" s="23" customFormat="1" ht="51" customHeight="1" x14ac:dyDescent="0.15">
      <c r="A1" s="320" t="s">
        <v>313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H1" s="80"/>
      <c r="AI1" s="80"/>
      <c r="AJ1" s="80"/>
      <c r="AK1" s="81"/>
    </row>
    <row r="2" spans="1:39" s="87" customFormat="1" ht="39.75" customHeight="1" x14ac:dyDescent="0.25">
      <c r="A2" s="82"/>
      <c r="B2" s="82"/>
      <c r="C2" s="82"/>
      <c r="D2" s="34"/>
      <c r="E2" s="34"/>
      <c r="F2" s="34"/>
      <c r="G2" s="34"/>
      <c r="H2" s="34"/>
      <c r="I2" s="34"/>
      <c r="J2" s="34"/>
      <c r="K2" s="34"/>
      <c r="L2" s="84"/>
      <c r="M2" s="83"/>
      <c r="N2" s="85"/>
      <c r="O2" s="318" t="s">
        <v>377</v>
      </c>
      <c r="P2" s="318"/>
      <c r="Q2" s="318"/>
      <c r="R2" s="318"/>
      <c r="S2" s="318"/>
      <c r="U2" s="239"/>
      <c r="V2" s="239"/>
      <c r="W2" s="239"/>
      <c r="X2" s="82"/>
      <c r="Y2" s="82"/>
      <c r="Z2" s="82"/>
      <c r="AA2" s="83"/>
      <c r="AB2" s="82"/>
      <c r="AC2" s="82"/>
      <c r="AD2" s="86"/>
      <c r="AH2" s="88"/>
      <c r="AI2" s="88"/>
      <c r="AJ2" s="88"/>
      <c r="AK2" s="89"/>
    </row>
    <row r="3" spans="1:39" s="96" customFormat="1" ht="33.75" customHeight="1" x14ac:dyDescent="0.15">
      <c r="A3" s="90" t="s">
        <v>239</v>
      </c>
      <c r="B3" s="319" t="s">
        <v>404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94"/>
      <c r="O3" s="91"/>
      <c r="P3" s="92"/>
      <c r="Q3" s="95"/>
      <c r="R3" s="91"/>
      <c r="S3" s="240"/>
      <c r="T3" s="91"/>
      <c r="U3" s="91"/>
      <c r="V3" s="91"/>
      <c r="W3" s="91"/>
      <c r="X3" s="91"/>
      <c r="Y3" s="171" t="s">
        <v>145</v>
      </c>
      <c r="Z3" s="91"/>
      <c r="AA3" s="93"/>
      <c r="AB3" s="322" t="s">
        <v>407</v>
      </c>
      <c r="AC3" s="323"/>
      <c r="AD3" s="323"/>
      <c r="AH3" s="97"/>
      <c r="AI3" s="97"/>
      <c r="AJ3" s="97"/>
      <c r="AK3" s="98"/>
    </row>
    <row r="4" spans="1:39" s="99" customFormat="1" ht="30" customHeight="1" x14ac:dyDescent="0.15">
      <c r="A4" s="324" t="s">
        <v>158</v>
      </c>
      <c r="B4" s="324" t="s">
        <v>159</v>
      </c>
      <c r="C4" s="324" t="s">
        <v>160</v>
      </c>
      <c r="D4" s="325" t="s">
        <v>161</v>
      </c>
      <c r="E4" s="325" t="s">
        <v>162</v>
      </c>
      <c r="F4" s="325" t="s">
        <v>163</v>
      </c>
      <c r="G4" s="326" t="s">
        <v>164</v>
      </c>
      <c r="H4" s="326"/>
      <c r="I4" s="326"/>
      <c r="J4" s="325" t="s">
        <v>165</v>
      </c>
      <c r="K4" s="325" t="s">
        <v>166</v>
      </c>
      <c r="L4" s="345" t="s">
        <v>167</v>
      </c>
      <c r="M4" s="342" t="s">
        <v>168</v>
      </c>
      <c r="N4" s="343" t="s">
        <v>322</v>
      </c>
      <c r="O4" s="324" t="s">
        <v>169</v>
      </c>
      <c r="P4" s="325" t="s">
        <v>170</v>
      </c>
      <c r="Q4" s="341" t="s">
        <v>171</v>
      </c>
      <c r="R4" s="324" t="s">
        <v>172</v>
      </c>
      <c r="S4" s="324" t="s">
        <v>173</v>
      </c>
      <c r="T4" s="324"/>
      <c r="U4" s="324"/>
      <c r="V4" s="324"/>
      <c r="W4" s="324"/>
      <c r="X4" s="324" t="s">
        <v>174</v>
      </c>
      <c r="Y4" s="324"/>
      <c r="Z4" s="324"/>
      <c r="AA4" s="324"/>
      <c r="AB4" s="327" t="s">
        <v>175</v>
      </c>
      <c r="AC4" s="327" t="s">
        <v>176</v>
      </c>
      <c r="AD4" s="324" t="s">
        <v>177</v>
      </c>
      <c r="AF4" s="339" t="s">
        <v>33</v>
      </c>
      <c r="AG4" s="339" t="s">
        <v>35</v>
      </c>
      <c r="AH4" s="329" t="s">
        <v>34</v>
      </c>
      <c r="AI4" s="329" t="s">
        <v>36</v>
      </c>
      <c r="AJ4" s="329" t="s">
        <v>37</v>
      </c>
      <c r="AK4" s="337" t="s">
        <v>38</v>
      </c>
      <c r="AL4" s="339" t="s">
        <v>40</v>
      </c>
    </row>
    <row r="5" spans="1:39" s="99" customFormat="1" ht="30" customHeight="1" x14ac:dyDescent="0.15">
      <c r="A5" s="324"/>
      <c r="B5" s="324"/>
      <c r="C5" s="324"/>
      <c r="D5" s="325"/>
      <c r="E5" s="325"/>
      <c r="F5" s="325"/>
      <c r="G5" s="247" t="s">
        <v>178</v>
      </c>
      <c r="H5" s="247" t="s">
        <v>179</v>
      </c>
      <c r="I5" s="247" t="s">
        <v>180</v>
      </c>
      <c r="J5" s="325"/>
      <c r="K5" s="325"/>
      <c r="L5" s="345"/>
      <c r="M5" s="342"/>
      <c r="N5" s="344"/>
      <c r="O5" s="324"/>
      <c r="P5" s="325"/>
      <c r="Q5" s="341"/>
      <c r="R5" s="324"/>
      <c r="S5" s="100" t="s">
        <v>181</v>
      </c>
      <c r="T5" s="100" t="s">
        <v>365</v>
      </c>
      <c r="U5" s="101" t="s">
        <v>182</v>
      </c>
      <c r="V5" s="101" t="s">
        <v>183</v>
      </c>
      <c r="W5" s="101" t="s">
        <v>184</v>
      </c>
      <c r="X5" s="102" t="s">
        <v>323</v>
      </c>
      <c r="Y5" s="103" t="s">
        <v>185</v>
      </c>
      <c r="Z5" s="102" t="s">
        <v>324</v>
      </c>
      <c r="AA5" s="174" t="s">
        <v>325</v>
      </c>
      <c r="AB5" s="324"/>
      <c r="AC5" s="324"/>
      <c r="AD5" s="324"/>
      <c r="AF5" s="340"/>
      <c r="AG5" s="340"/>
      <c r="AH5" s="330"/>
      <c r="AI5" s="330"/>
      <c r="AJ5" s="330"/>
      <c r="AK5" s="338"/>
      <c r="AL5" s="340"/>
    </row>
    <row r="6" spans="1:39" s="99" customFormat="1" ht="30" customHeight="1" x14ac:dyDescent="0.15">
      <c r="A6" s="324"/>
      <c r="B6" s="324"/>
      <c r="C6" s="324"/>
      <c r="D6" s="325"/>
      <c r="E6" s="325"/>
      <c r="F6" s="325"/>
      <c r="G6" s="247" t="s">
        <v>32</v>
      </c>
      <c r="H6" s="247" t="s">
        <v>32</v>
      </c>
      <c r="I6" s="247" t="s">
        <v>32</v>
      </c>
      <c r="J6" s="108" t="s">
        <v>32</v>
      </c>
      <c r="K6" s="135"/>
      <c r="L6" s="106" t="s">
        <v>186</v>
      </c>
      <c r="M6" s="104" t="s">
        <v>186</v>
      </c>
      <c r="N6" s="107" t="s">
        <v>187</v>
      </c>
      <c r="O6" s="103"/>
      <c r="P6" s="108" t="s">
        <v>186</v>
      </c>
      <c r="Q6" s="109" t="s">
        <v>186</v>
      </c>
      <c r="R6" s="103" t="s">
        <v>186</v>
      </c>
      <c r="S6" s="103" t="s">
        <v>187</v>
      </c>
      <c r="T6" s="101" t="s">
        <v>187</v>
      </c>
      <c r="U6" s="101" t="s">
        <v>187</v>
      </c>
      <c r="V6" s="101" t="s">
        <v>187</v>
      </c>
      <c r="W6" s="101" t="s">
        <v>187</v>
      </c>
      <c r="X6" s="101" t="s">
        <v>187</v>
      </c>
      <c r="Y6" s="101" t="s">
        <v>187</v>
      </c>
      <c r="Z6" s="101" t="s">
        <v>187</v>
      </c>
      <c r="AA6" s="110" t="s">
        <v>187</v>
      </c>
      <c r="AB6" s="103" t="s">
        <v>187</v>
      </c>
      <c r="AC6" s="103" t="s">
        <v>187</v>
      </c>
      <c r="AD6" s="324"/>
      <c r="AF6" s="340"/>
      <c r="AG6" s="340"/>
      <c r="AH6" s="330"/>
      <c r="AI6" s="330"/>
      <c r="AJ6" s="330"/>
      <c r="AK6" s="338"/>
      <c r="AL6" s="340"/>
    </row>
    <row r="7" spans="1:39" s="87" customFormat="1" ht="30" customHeight="1" x14ac:dyDescent="0.15">
      <c r="A7" s="103">
        <v>1</v>
      </c>
      <c r="B7" s="103">
        <v>1</v>
      </c>
      <c r="C7" s="103">
        <v>2</v>
      </c>
      <c r="D7" s="108">
        <v>4</v>
      </c>
      <c r="E7" s="108">
        <v>5</v>
      </c>
      <c r="F7" s="108">
        <v>6</v>
      </c>
      <c r="G7" s="108">
        <v>7</v>
      </c>
      <c r="H7" s="108">
        <v>8</v>
      </c>
      <c r="I7" s="108">
        <v>9</v>
      </c>
      <c r="J7" s="108">
        <v>10</v>
      </c>
      <c r="K7" s="108">
        <v>11</v>
      </c>
      <c r="L7" s="104">
        <v>3</v>
      </c>
      <c r="M7" s="103">
        <v>4</v>
      </c>
      <c r="N7" s="103">
        <v>5</v>
      </c>
      <c r="O7" s="103">
        <v>15</v>
      </c>
      <c r="P7" s="108">
        <v>16</v>
      </c>
      <c r="Q7" s="109">
        <v>17</v>
      </c>
      <c r="R7" s="103">
        <v>6</v>
      </c>
      <c r="S7" s="103">
        <v>7</v>
      </c>
      <c r="T7" s="103">
        <v>20</v>
      </c>
      <c r="U7" s="103">
        <v>21</v>
      </c>
      <c r="V7" s="103">
        <v>22</v>
      </c>
      <c r="W7" s="103">
        <v>23</v>
      </c>
      <c r="X7" s="103">
        <v>8</v>
      </c>
      <c r="Y7" s="103">
        <v>25</v>
      </c>
      <c r="Z7" s="103">
        <v>9</v>
      </c>
      <c r="AA7" s="104">
        <v>10</v>
      </c>
      <c r="AB7" s="103">
        <v>11</v>
      </c>
      <c r="AC7" s="103">
        <v>29</v>
      </c>
      <c r="AD7" s="103">
        <v>12</v>
      </c>
      <c r="AF7" s="87" t="s">
        <v>31</v>
      </c>
      <c r="AG7" s="87" t="s">
        <v>31</v>
      </c>
      <c r="AH7" s="88" t="s">
        <v>31</v>
      </c>
      <c r="AI7" s="88" t="s">
        <v>31</v>
      </c>
      <c r="AJ7" s="88" t="s">
        <v>31</v>
      </c>
      <c r="AK7" s="111" t="s">
        <v>39</v>
      </c>
      <c r="AL7" s="111" t="s">
        <v>39</v>
      </c>
    </row>
    <row r="8" spans="1:39" s="118" customFormat="1" ht="63.75" hidden="1" customHeight="1" x14ac:dyDescent="0.15">
      <c r="A8" s="112"/>
      <c r="B8" s="333" t="s">
        <v>267</v>
      </c>
      <c r="C8" s="112" t="str">
        <f t="shared" ref="C8:C14" si="0">"d"&amp;D8</f>
        <v>d300</v>
      </c>
      <c r="D8" s="248">
        <v>300</v>
      </c>
      <c r="E8" s="108">
        <f t="shared" ref="E8:E14" si="1">D8/10</f>
        <v>30</v>
      </c>
      <c r="F8" s="123">
        <f t="shared" ref="F8:F14" si="2">D8+2*(E8+J8)</f>
        <v>1160</v>
      </c>
      <c r="G8" s="249">
        <v>0</v>
      </c>
      <c r="H8" s="249">
        <v>0</v>
      </c>
      <c r="I8" s="249">
        <v>0</v>
      </c>
      <c r="J8" s="123">
        <f t="shared" ref="J8:J14" si="3">IF(D8&lt;=500,400,IF(D8&lt;=1000,500,IF(D8&lt;=1500,600,IF(D8&lt;=3000,800))))</f>
        <v>400</v>
      </c>
      <c r="K8" s="108">
        <v>0.33</v>
      </c>
      <c r="L8" s="256">
        <v>0</v>
      </c>
      <c r="M8" s="115">
        <f t="shared" ref="M8:M17" si="4">IF(D8&lt;=600,0.1,IF(D8&lt;=800,0.15,IF(D8&lt;=1100,0.2,IF(D8&lt;=1350,0.25,IF(D8&lt;=3000,0.3)))))</f>
        <v>0.1</v>
      </c>
      <c r="N8" s="106">
        <f>0.5*(F8*0.001+(0.001*F8+2*M8*K8))*M8*L8*1.1</f>
        <v>0</v>
      </c>
      <c r="O8" s="106">
        <v>0</v>
      </c>
      <c r="P8" s="116">
        <v>2</v>
      </c>
      <c r="Q8" s="116">
        <v>0.6</v>
      </c>
      <c r="R8" s="114">
        <f t="shared" ref="R8:R14" si="5">IF(P8-Q8-D8*0.001-E8*0.001&gt;=0.5,M8+P8+E8*0.001-Q8,M8+E8*0.001*2+D8*0.001+0.5)</f>
        <v>1.5299999999999998</v>
      </c>
      <c r="S8" s="117">
        <f>(AF8+AJ8)*R8*0.5*L8</f>
        <v>0</v>
      </c>
      <c r="T8" s="117"/>
      <c r="U8" s="117">
        <v>0</v>
      </c>
      <c r="V8" s="117">
        <v>0</v>
      </c>
      <c r="W8" s="117">
        <v>0</v>
      </c>
      <c r="X8" s="115">
        <f>((AI8+AJ8)*(R8-0.5-D8*0.001-E8*0.001-M8)*0.5*L8-Y8)</f>
        <v>0</v>
      </c>
      <c r="Y8" s="115">
        <v>0</v>
      </c>
      <c r="Z8" s="115">
        <f t="shared" ref="Z8:Z14" si="6">((AG8+AH8)*(D8*0.001*0.5+E8*0.001)*0.5-AK8*0.5)*L8</f>
        <v>0</v>
      </c>
      <c r="AA8" s="115">
        <f t="shared" ref="AA8:AA14" si="7">((AH8+AI8)*(D8*0.001*0.5+E8*0.001+0.5)*0.5-AK8*0.5)*L8</f>
        <v>0</v>
      </c>
      <c r="AB8" s="115">
        <f>S8</f>
        <v>0</v>
      </c>
      <c r="AC8" s="115">
        <f t="shared" ref="AC8:AC12" si="8">T8-Y8</f>
        <v>0</v>
      </c>
      <c r="AD8" s="104" t="str">
        <f>IF(D8&lt;1350,"II级钢筋混凝土承插口管","II级钢筋混凝土企口管")</f>
        <v>II级钢筋混凝土承插口管</v>
      </c>
      <c r="AF8" s="119">
        <f t="shared" ref="AF8:AF14" si="9">F8*0.001</f>
        <v>1.1599999999999999</v>
      </c>
      <c r="AG8" s="119">
        <f t="shared" ref="AG8:AG14" si="10">AF8+M8*K8*2</f>
        <v>1.226</v>
      </c>
      <c r="AH8" s="119">
        <f t="shared" ref="AH8:AH14" si="11">AG8+(0.5*D8*0.001+E8*0.001)*K8*2</f>
        <v>1.3448</v>
      </c>
      <c r="AI8" s="119">
        <f t="shared" ref="AI8:AI14" si="12">AH8+(D8*0.001*0.5+E8*0.001+0.5)*K8*2</f>
        <v>1.7936000000000001</v>
      </c>
      <c r="AJ8" s="119">
        <f t="shared" ref="AJ8:AJ14" si="13">AF8+R8*K8*2</f>
        <v>2.1697999999999995</v>
      </c>
      <c r="AK8" s="120">
        <f t="shared" ref="AK8:AK14" si="14">3.14*(D8*0.001*0.5+E8*0.001)^2</f>
        <v>0.10173599999999999</v>
      </c>
      <c r="AL8" s="120"/>
      <c r="AM8" s="118">
        <f>AI8*L8</f>
        <v>0</v>
      </c>
    </row>
    <row r="9" spans="1:39" s="118" customFormat="1" ht="48" hidden="1" customHeight="1" x14ac:dyDescent="0.15">
      <c r="A9" s="112"/>
      <c r="B9" s="334"/>
      <c r="C9" s="112" t="str">
        <f t="shared" si="0"/>
        <v>d400</v>
      </c>
      <c r="D9" s="248">
        <v>400</v>
      </c>
      <c r="E9" s="108">
        <f t="shared" si="1"/>
        <v>40</v>
      </c>
      <c r="F9" s="123">
        <f t="shared" si="2"/>
        <v>1280</v>
      </c>
      <c r="G9" s="249">
        <v>0</v>
      </c>
      <c r="H9" s="249">
        <v>0</v>
      </c>
      <c r="I9" s="249">
        <v>0</v>
      </c>
      <c r="J9" s="123">
        <f t="shared" si="3"/>
        <v>400</v>
      </c>
      <c r="K9" s="108">
        <v>0.33</v>
      </c>
      <c r="L9" s="256">
        <v>0</v>
      </c>
      <c r="M9" s="115">
        <f t="shared" si="4"/>
        <v>0.1</v>
      </c>
      <c r="N9" s="106">
        <f t="shared" ref="N9:N15" si="15">0.5*(F9*0.001+(0.001*F9+2*M9*K9))*M9*L9</f>
        <v>0</v>
      </c>
      <c r="O9" s="106">
        <v>0</v>
      </c>
      <c r="P9" s="116">
        <v>2.2000000000000002</v>
      </c>
      <c r="Q9" s="116">
        <v>0.6</v>
      </c>
      <c r="R9" s="114">
        <f t="shared" si="5"/>
        <v>1.7400000000000002</v>
      </c>
      <c r="S9" s="117">
        <f>(AF9+AJ9)*R9*0.5*L9</f>
        <v>0</v>
      </c>
      <c r="T9" s="117"/>
      <c r="U9" s="117">
        <v>0</v>
      </c>
      <c r="V9" s="117">
        <v>0</v>
      </c>
      <c r="W9" s="117">
        <v>0</v>
      </c>
      <c r="X9" s="115">
        <f>((AI9+AJ9)*(R9-0.5-D9*0.001-E9*0.001-M9)*0.5*L9-Y9)</f>
        <v>0</v>
      </c>
      <c r="Y9" s="115">
        <v>0</v>
      </c>
      <c r="Z9" s="115">
        <f t="shared" si="6"/>
        <v>0</v>
      </c>
      <c r="AA9" s="115">
        <f t="shared" si="7"/>
        <v>0</v>
      </c>
      <c r="AB9" s="115">
        <f>S9</f>
        <v>0</v>
      </c>
      <c r="AC9" s="115">
        <f t="shared" si="8"/>
        <v>0</v>
      </c>
      <c r="AD9" s="104" t="str">
        <f>IF(D9&lt;1350,"II级钢筋混凝土承插口管","II级钢筋混凝土企口管")</f>
        <v>II级钢筋混凝土承插口管</v>
      </c>
      <c r="AF9" s="119">
        <f t="shared" si="9"/>
        <v>1.28</v>
      </c>
      <c r="AG9" s="119">
        <f t="shared" si="10"/>
        <v>1.3460000000000001</v>
      </c>
      <c r="AH9" s="119">
        <f t="shared" si="11"/>
        <v>1.5044000000000002</v>
      </c>
      <c r="AI9" s="119">
        <f t="shared" si="12"/>
        <v>1.9928000000000001</v>
      </c>
      <c r="AJ9" s="119">
        <f t="shared" si="13"/>
        <v>2.4283999999999999</v>
      </c>
      <c r="AK9" s="120">
        <f t="shared" si="14"/>
        <v>0.18086400000000005</v>
      </c>
      <c r="AL9" s="120"/>
      <c r="AM9" s="118">
        <f t="shared" ref="AM9:AM17" si="16">AI9*L9</f>
        <v>0</v>
      </c>
    </row>
    <row r="10" spans="1:39" s="269" customFormat="1" ht="48" hidden="1" customHeight="1" x14ac:dyDescent="0.15">
      <c r="A10" s="259"/>
      <c r="B10" s="335"/>
      <c r="C10" s="259" t="str">
        <f t="shared" ref="C10" si="17">"d"&amp;D10</f>
        <v>d400</v>
      </c>
      <c r="D10" s="260">
        <v>400</v>
      </c>
      <c r="E10" s="261">
        <f t="shared" ref="E10" si="18">D10/10</f>
        <v>40</v>
      </c>
      <c r="F10" s="262">
        <f t="shared" ref="F10" si="19">D10+2*(E10+J10)</f>
        <v>1480</v>
      </c>
      <c r="G10" s="263">
        <v>0</v>
      </c>
      <c r="H10" s="263">
        <v>0</v>
      </c>
      <c r="I10" s="263">
        <v>0</v>
      </c>
      <c r="J10" s="262">
        <v>500</v>
      </c>
      <c r="K10" s="261">
        <v>0</v>
      </c>
      <c r="L10" s="256">
        <v>0</v>
      </c>
      <c r="M10" s="264">
        <v>0.2</v>
      </c>
      <c r="N10" s="265">
        <f t="shared" ref="N10" si="20">0.5*(F10*0.001+(0.001*F10+2*M10*K10))*M10*L10</f>
        <v>0</v>
      </c>
      <c r="O10" s="265">
        <v>0</v>
      </c>
      <c r="P10" s="266">
        <v>3.2</v>
      </c>
      <c r="Q10" s="266">
        <v>0.6</v>
      </c>
      <c r="R10" s="256">
        <f t="shared" ref="R10" si="21">IF(P10-Q10-D10*0.001-E10*0.001&gt;=0.5,M10+P10+E10*0.001-Q10,M10+E10*0.001*2+D10*0.001+0.5)</f>
        <v>2.8400000000000003</v>
      </c>
      <c r="S10" s="267">
        <f>(AF10+AJ10)*R10*0.5*L10</f>
        <v>0</v>
      </c>
      <c r="T10" s="267"/>
      <c r="U10" s="267">
        <v>0</v>
      </c>
      <c r="V10" s="267">
        <v>0</v>
      </c>
      <c r="W10" s="267">
        <v>0</v>
      </c>
      <c r="X10" s="264">
        <f>((AI10+AJ10)*(R10-0.5-D10*0.001-E10*0.001-M10)*0.5*L10-Y10)+18.13</f>
        <v>18.13</v>
      </c>
      <c r="Y10" s="264">
        <v>0</v>
      </c>
      <c r="Z10" s="264">
        <f t="shared" ref="Z10" si="22">((AG10+AH10)*(D10*0.001*0.5+E10*0.001)*0.5-AK10*0.5)*L10</f>
        <v>0</v>
      </c>
      <c r="AA10" s="264">
        <f t="shared" ref="AA10" si="23">((AH10+AI10)*(D10*0.001*0.5+E10*0.001+0.5)*0.5-AK10*0.5)*L10</f>
        <v>0</v>
      </c>
      <c r="AB10" s="264">
        <f>S10</f>
        <v>0</v>
      </c>
      <c r="AC10" s="264">
        <f t="shared" ref="AC10" si="24">T10-Y10</f>
        <v>0</v>
      </c>
      <c r="AD10" s="268" t="str">
        <f>IF(D10&lt;1350,"II级钢筋混凝土承插口管","II级钢筋混凝土企口管")</f>
        <v>II级钢筋混凝土承插口管</v>
      </c>
      <c r="AF10" s="270">
        <f t="shared" ref="AF10" si="25">F10*0.001</f>
        <v>1.48</v>
      </c>
      <c r="AG10" s="270">
        <f t="shared" ref="AG10" si="26">AF10+M10*K10*2</f>
        <v>1.48</v>
      </c>
      <c r="AH10" s="270">
        <f t="shared" ref="AH10" si="27">AG10+(0.5*D10*0.001+E10*0.001)*K10*2</f>
        <v>1.48</v>
      </c>
      <c r="AI10" s="270">
        <f t="shared" ref="AI10" si="28">AH10+(D10*0.001*0.5+E10*0.001+0.5)*K10*2</f>
        <v>1.48</v>
      </c>
      <c r="AJ10" s="270">
        <f t="shared" ref="AJ10" si="29">AF10+R10*K10*2</f>
        <v>1.48</v>
      </c>
      <c r="AK10" s="271">
        <f t="shared" ref="AK10" si="30">3.14*(D10*0.001*0.5+E10*0.001)^2</f>
        <v>0.18086400000000005</v>
      </c>
      <c r="AL10" s="271"/>
      <c r="AM10" s="269">
        <f t="shared" ref="AM10" si="31">AI10*L10</f>
        <v>0</v>
      </c>
    </row>
    <row r="11" spans="1:39" s="118" customFormat="1" ht="48" customHeight="1" x14ac:dyDescent="0.15">
      <c r="A11" s="112"/>
      <c r="B11" s="174"/>
      <c r="C11" s="112"/>
      <c r="D11" s="248"/>
      <c r="E11" s="108"/>
      <c r="F11" s="123"/>
      <c r="G11" s="249"/>
      <c r="H11" s="249"/>
      <c r="I11" s="249"/>
      <c r="J11" s="123"/>
      <c r="K11" s="108"/>
      <c r="L11" s="258"/>
      <c r="M11" s="115"/>
      <c r="N11" s="106"/>
      <c r="O11" s="106"/>
      <c r="P11" s="116"/>
      <c r="Q11" s="116"/>
      <c r="R11" s="114"/>
      <c r="S11" s="117"/>
      <c r="T11" s="117"/>
      <c r="U11" s="117"/>
      <c r="V11" s="117"/>
      <c r="W11" s="117"/>
      <c r="X11" s="115"/>
      <c r="Y11" s="115"/>
      <c r="Z11" s="115"/>
      <c r="AA11" s="115"/>
      <c r="AB11" s="115"/>
      <c r="AC11" s="115"/>
      <c r="AD11" s="104"/>
      <c r="AF11" s="119"/>
      <c r="AG11" s="119"/>
      <c r="AH11" s="119"/>
      <c r="AI11" s="119"/>
      <c r="AJ11" s="119"/>
      <c r="AK11" s="120"/>
      <c r="AL11" s="120"/>
    </row>
    <row r="12" spans="1:39" s="118" customFormat="1" ht="50.25" customHeight="1" x14ac:dyDescent="0.15">
      <c r="A12" s="112"/>
      <c r="B12" s="174" t="s">
        <v>266</v>
      </c>
      <c r="C12" s="112" t="str">
        <f t="shared" si="0"/>
        <v>d800</v>
      </c>
      <c r="D12" s="248">
        <v>800</v>
      </c>
      <c r="E12" s="108">
        <f t="shared" si="1"/>
        <v>80</v>
      </c>
      <c r="F12" s="123">
        <f t="shared" si="2"/>
        <v>1960</v>
      </c>
      <c r="G12" s="249">
        <v>0</v>
      </c>
      <c r="H12" s="249">
        <v>0</v>
      </c>
      <c r="I12" s="249">
        <v>0</v>
      </c>
      <c r="J12" s="123">
        <f t="shared" si="3"/>
        <v>500</v>
      </c>
      <c r="K12" s="108">
        <v>0.33</v>
      </c>
      <c r="L12" s="114">
        <v>151</v>
      </c>
      <c r="M12" s="115">
        <f>IF(D12&lt;=600,0.15,IF(D12&lt;=800,0.15,IF(D12&lt;=1100,0.2,IF(D12&lt;=1350,0.25,IF(D12&lt;=3000,0.3)))))</f>
        <v>0.15</v>
      </c>
      <c r="N12" s="106">
        <f t="shared" si="15"/>
        <v>45.515174999999999</v>
      </c>
      <c r="O12" s="106">
        <v>0</v>
      </c>
      <c r="P12" s="116">
        <v>2.2000000000000002</v>
      </c>
      <c r="Q12" s="116">
        <v>0.51</v>
      </c>
      <c r="R12" s="114">
        <f t="shared" si="5"/>
        <v>1.9200000000000002</v>
      </c>
      <c r="S12" s="117">
        <f>(AF12+AJ12)*R12*0.5*L12</f>
        <v>751.93651199999999</v>
      </c>
      <c r="T12" s="117"/>
      <c r="U12" s="117">
        <v>0</v>
      </c>
      <c r="V12" s="117">
        <v>0</v>
      </c>
      <c r="W12" s="117">
        <v>0</v>
      </c>
      <c r="X12" s="115">
        <f t="shared" ref="X12:X14" si="32">((AI12+AJ12)*(R12-0.5-D12*0.001-E12*0.001-M12)*0.5*L12-Y12)*1.15</f>
        <v>211.62916515000009</v>
      </c>
      <c r="Y12" s="115">
        <v>0</v>
      </c>
      <c r="Z12" s="115">
        <f t="shared" si="6"/>
        <v>106.09622400000005</v>
      </c>
      <c r="AA12" s="115">
        <f t="shared" si="7"/>
        <v>344.80668799999995</v>
      </c>
      <c r="AB12" s="115">
        <f t="shared" ref="AB12" si="33">S12</f>
        <v>751.93651199999999</v>
      </c>
      <c r="AC12" s="115">
        <f t="shared" si="8"/>
        <v>0</v>
      </c>
      <c r="AD12" s="104" t="str">
        <f>IF(D12&lt;1350,"II级钢筋混凝土承插口管","II级钢筋混凝土企口管")</f>
        <v>II级钢筋混凝土承插口管</v>
      </c>
      <c r="AF12" s="119">
        <f t="shared" si="9"/>
        <v>1.96</v>
      </c>
      <c r="AG12" s="119">
        <f t="shared" si="10"/>
        <v>2.0590000000000002</v>
      </c>
      <c r="AH12" s="119">
        <f t="shared" si="11"/>
        <v>2.3758000000000004</v>
      </c>
      <c r="AI12" s="119">
        <f t="shared" si="12"/>
        <v>3.0226000000000006</v>
      </c>
      <c r="AJ12" s="119">
        <f t="shared" si="13"/>
        <v>3.2271999999999998</v>
      </c>
      <c r="AK12" s="120">
        <f t="shared" si="14"/>
        <v>0.72345600000000021</v>
      </c>
      <c r="AL12" s="120"/>
      <c r="AM12" s="118">
        <f t="shared" si="16"/>
        <v>456.41260000000011</v>
      </c>
    </row>
    <row r="13" spans="1:39" s="118" customFormat="1" ht="50.25" customHeight="1" x14ac:dyDescent="0.15">
      <c r="A13" s="112"/>
      <c r="B13" s="293"/>
      <c r="C13" s="112"/>
      <c r="D13" s="248"/>
      <c r="E13" s="108"/>
      <c r="F13" s="123"/>
      <c r="G13" s="249"/>
      <c r="H13" s="249"/>
      <c r="I13" s="249"/>
      <c r="J13" s="123"/>
      <c r="K13" s="108"/>
      <c r="L13" s="114"/>
      <c r="M13" s="115"/>
      <c r="N13" s="106"/>
      <c r="O13" s="106"/>
      <c r="P13" s="116"/>
      <c r="Q13" s="116"/>
      <c r="R13" s="114"/>
      <c r="S13" s="117"/>
      <c r="T13" s="117"/>
      <c r="U13" s="117"/>
      <c r="V13" s="117"/>
      <c r="W13" s="117"/>
      <c r="X13" s="115"/>
      <c r="Y13" s="115"/>
      <c r="Z13" s="115"/>
      <c r="AA13" s="115"/>
      <c r="AB13" s="115"/>
      <c r="AC13" s="115"/>
      <c r="AD13" s="104"/>
      <c r="AF13" s="119"/>
      <c r="AG13" s="119"/>
      <c r="AH13" s="119"/>
      <c r="AI13" s="119"/>
      <c r="AJ13" s="119"/>
      <c r="AK13" s="120"/>
      <c r="AL13" s="120"/>
    </row>
    <row r="14" spans="1:39" s="269" customFormat="1" ht="57" customHeight="1" x14ac:dyDescent="0.15">
      <c r="A14" s="292"/>
      <c r="B14" s="336" t="s">
        <v>267</v>
      </c>
      <c r="C14" s="259" t="str">
        <f t="shared" si="0"/>
        <v>d300</v>
      </c>
      <c r="D14" s="260">
        <v>300</v>
      </c>
      <c r="E14" s="261">
        <f t="shared" si="1"/>
        <v>30</v>
      </c>
      <c r="F14" s="262">
        <f t="shared" si="2"/>
        <v>1160</v>
      </c>
      <c r="G14" s="263">
        <v>0</v>
      </c>
      <c r="H14" s="263">
        <v>0</v>
      </c>
      <c r="I14" s="263">
        <v>0</v>
      </c>
      <c r="J14" s="262">
        <f t="shared" si="3"/>
        <v>400</v>
      </c>
      <c r="K14" s="261">
        <v>0.33</v>
      </c>
      <c r="L14" s="294">
        <v>7</v>
      </c>
      <c r="M14" s="264">
        <f>IF(D14&lt;=600,0.15,IF(D14&lt;=800,0.15,IF(D14&lt;=1100,0.2,IF(D14&lt;=1350,0.25,IF(D14&lt;=3000,0.3)))))</f>
        <v>0.15</v>
      </c>
      <c r="N14" s="265">
        <f t="shared" si="15"/>
        <v>1.2699749999999999</v>
      </c>
      <c r="O14" s="265">
        <v>0</v>
      </c>
      <c r="P14" s="266">
        <v>2.8</v>
      </c>
      <c r="Q14" s="266">
        <v>0.57999999999999996</v>
      </c>
      <c r="R14" s="256">
        <f t="shared" si="5"/>
        <v>2.3999999999999995</v>
      </c>
      <c r="S14" s="267">
        <f t="shared" ref="S14:S17" si="34">(AF14+AJ14)*R14*0.5*L14*0.9</f>
        <v>29.514239999999997</v>
      </c>
      <c r="T14" s="267">
        <f t="shared" ref="T14:T17" si="35">(AF14+AJ14)*R14*0.5*L14*0.1</f>
        <v>3.2793600000000001</v>
      </c>
      <c r="U14" s="267">
        <v>0</v>
      </c>
      <c r="V14" s="267">
        <v>0</v>
      </c>
      <c r="W14" s="267">
        <v>0</v>
      </c>
      <c r="X14" s="264">
        <f t="shared" si="32"/>
        <v>26.123264299999985</v>
      </c>
      <c r="Y14" s="264">
        <v>0</v>
      </c>
      <c r="Z14" s="264">
        <f t="shared" si="6"/>
        <v>1.3051079999999999</v>
      </c>
      <c r="AA14" s="264">
        <f t="shared" si="7"/>
        <v>7.270395999999999</v>
      </c>
      <c r="AB14" s="264">
        <f t="shared" ref="AB14:AB17" si="36">S14-X14</f>
        <v>3.3909757000000127</v>
      </c>
      <c r="AC14" s="264">
        <f>T14-Y14</f>
        <v>3.2793600000000001</v>
      </c>
      <c r="AD14" s="268" t="str">
        <f>IF(D14&lt;1350,"II级钢筋混凝土承插口管","II级钢筋混凝土企口管")</f>
        <v>II级钢筋混凝土承插口管</v>
      </c>
      <c r="AF14" s="270">
        <f t="shared" si="9"/>
        <v>1.1599999999999999</v>
      </c>
      <c r="AG14" s="270">
        <f t="shared" si="10"/>
        <v>1.2589999999999999</v>
      </c>
      <c r="AH14" s="270">
        <f t="shared" si="11"/>
        <v>1.3777999999999999</v>
      </c>
      <c r="AI14" s="270">
        <f t="shared" si="12"/>
        <v>1.8266</v>
      </c>
      <c r="AJ14" s="270">
        <f t="shared" si="13"/>
        <v>2.7439999999999998</v>
      </c>
      <c r="AK14" s="271">
        <f t="shared" si="14"/>
        <v>0.10173599999999999</v>
      </c>
      <c r="AL14" s="271"/>
      <c r="AM14" s="269">
        <f t="shared" si="16"/>
        <v>12.786200000000001</v>
      </c>
    </row>
    <row r="15" spans="1:39" s="269" customFormat="1" ht="51" customHeight="1" x14ac:dyDescent="0.15">
      <c r="A15" s="292"/>
      <c r="B15" s="336"/>
      <c r="C15" s="259" t="str">
        <f t="shared" ref="C15:C17" si="37">"d"&amp;D15</f>
        <v>d400</v>
      </c>
      <c r="D15" s="260">
        <v>400</v>
      </c>
      <c r="E15" s="261">
        <f t="shared" ref="E15:E17" si="38">D15/10</f>
        <v>40</v>
      </c>
      <c r="F15" s="262">
        <f t="shared" ref="F15:F17" si="39">D15+2*(E15+J15)</f>
        <v>1280</v>
      </c>
      <c r="G15" s="263">
        <v>0</v>
      </c>
      <c r="H15" s="263">
        <v>0</v>
      </c>
      <c r="I15" s="263">
        <v>0</v>
      </c>
      <c r="J15" s="262">
        <f t="shared" ref="J15:J17" si="40">IF(D15&lt;=500,400,IF(D15&lt;=1000,500,IF(D15&lt;=1500,600,IF(D15&lt;=3000,800))))</f>
        <v>400</v>
      </c>
      <c r="K15" s="261">
        <v>0.33</v>
      </c>
      <c r="L15" s="256">
        <v>74</v>
      </c>
      <c r="M15" s="264">
        <f t="shared" si="4"/>
        <v>0.1</v>
      </c>
      <c r="N15" s="265">
        <f t="shared" si="15"/>
        <v>9.7162000000000024</v>
      </c>
      <c r="O15" s="265">
        <f t="shared" ref="O15" si="41">IF(D15=300,0.095*L15,IF(D15=400,0.127*L15,IF(D15=500,0.179*L15,IF(D15=600,0.257*L15,IF(D15=800,0.457*L15,IF(D15=1000,0.715*L15,IF(D15=1200,1.029*L15,IF(D15=1350,1.302*L15,IF(D15=1500,1.608*L15,IF(D15=1650,1.945*L15,IF(D15=1800,2.315*L15,IF(D15=2000,2.858*L15,IF(D15=2200,3.458*L15,IF(D15=2400,3.932*L15,IF(D15=2800,5.072*L15)))))))))))))))</f>
        <v>9.3979999999999997</v>
      </c>
      <c r="P15" s="266">
        <v>3</v>
      </c>
      <c r="Q15" s="266">
        <v>0.6</v>
      </c>
      <c r="R15" s="256">
        <f t="shared" ref="R15:R17" si="42">IF(P15-Q15-D15*0.001-E15*0.001&gt;=0.5,M15+P15+E15*0.001-Q15,M15+E15*0.001*2+D15*0.001+0.5)</f>
        <v>2.54</v>
      </c>
      <c r="S15" s="267">
        <f t="shared" si="34"/>
        <v>358.32318480000004</v>
      </c>
      <c r="T15" s="267">
        <f t="shared" si="35"/>
        <v>39.813687200000004</v>
      </c>
      <c r="U15" s="267">
        <v>0</v>
      </c>
      <c r="V15" s="267">
        <v>0</v>
      </c>
      <c r="W15" s="267">
        <v>0</v>
      </c>
      <c r="X15" s="264">
        <f t="shared" ref="X15:X17" si="43">((AI15+AJ15)*(R15-0.5-D15*0.001-E15*0.001-M15)*0.5*L15-Y15)*1.15</f>
        <v>315.88269000000003</v>
      </c>
      <c r="Y15" s="264">
        <v>0</v>
      </c>
      <c r="Z15" s="264">
        <f t="shared" ref="Z15:Z17" si="44">((AG15+AH15)*(D15*0.001*0.5+E15*0.001)*0.5-AK15*0.5)*L15</f>
        <v>18.619584000000003</v>
      </c>
      <c r="AA15" s="264">
        <f t="shared" ref="AA15:AA17" si="45">((AH15+AI15)*(D15*0.001*0.5+E15*0.001+0.5)*0.5-AK15*0.5)*L15</f>
        <v>89.061368000000002</v>
      </c>
      <c r="AB15" s="264">
        <f t="shared" si="36"/>
        <v>42.44049480000001</v>
      </c>
      <c r="AC15" s="264">
        <f>T15-Y15</f>
        <v>39.813687200000004</v>
      </c>
      <c r="AD15" s="268" t="str">
        <f t="shared" ref="AD15:AD17" si="46">IF(D15&lt;1350,"II级钢筋混凝土承插口管","II级钢筋混凝土企口管")</f>
        <v>II级钢筋混凝土承插口管</v>
      </c>
      <c r="AF15" s="270">
        <f t="shared" ref="AF15:AF17" si="47">F15*0.001</f>
        <v>1.28</v>
      </c>
      <c r="AG15" s="270">
        <f t="shared" ref="AG15:AG17" si="48">AF15+M15*K15*2</f>
        <v>1.3460000000000001</v>
      </c>
      <c r="AH15" s="270">
        <f t="shared" ref="AH15:AH17" si="49">AG15+(0.5*D15*0.001+E15*0.001)*K15*2</f>
        <v>1.5044000000000002</v>
      </c>
      <c r="AI15" s="270">
        <f t="shared" ref="AI15:AI17" si="50">AH15+(D15*0.001*0.5+E15*0.001+0.5)*K15*2</f>
        <v>1.9928000000000001</v>
      </c>
      <c r="AJ15" s="270">
        <f t="shared" ref="AJ15:AJ17" si="51">AF15+R15*K15*2</f>
        <v>2.9564000000000004</v>
      </c>
      <c r="AK15" s="271">
        <f t="shared" ref="AK15:AK17" si="52">3.14*(D15*0.001*0.5+E15*0.001)^2</f>
        <v>0.18086400000000005</v>
      </c>
      <c r="AL15" s="271"/>
      <c r="AM15" s="269">
        <f t="shared" si="16"/>
        <v>147.46720000000002</v>
      </c>
    </row>
    <row r="16" spans="1:39" s="118" customFormat="1" ht="30" hidden="1" customHeight="1" x14ac:dyDescent="0.15">
      <c r="A16" s="121"/>
      <c r="B16" s="233"/>
      <c r="C16" s="112" t="str">
        <f t="shared" ref="C16" si="53">"d"&amp;D16</f>
        <v>d1800</v>
      </c>
      <c r="D16" s="248">
        <v>1800</v>
      </c>
      <c r="E16" s="108">
        <f t="shared" ref="E16" si="54">D16/10</f>
        <v>180</v>
      </c>
      <c r="F16" s="123">
        <f t="shared" ref="F16" si="55">D16+2*(E16+J16)</f>
        <v>3760</v>
      </c>
      <c r="G16" s="249">
        <v>0</v>
      </c>
      <c r="H16" s="249">
        <v>0</v>
      </c>
      <c r="I16" s="249">
        <v>0</v>
      </c>
      <c r="J16" s="123">
        <f t="shared" ref="J16" si="56">IF(D16&lt;=500,400,IF(D16&lt;=1000,500,IF(D16&lt;=1500,600,IF(D16&lt;=3000,800))))</f>
        <v>800</v>
      </c>
      <c r="K16" s="108">
        <v>0.33</v>
      </c>
      <c r="L16" s="114">
        <v>0</v>
      </c>
      <c r="M16" s="115">
        <f t="shared" ref="M16" si="57">IF(D16&lt;=600,0.1,IF(D16&lt;=800,0.15,IF(D16&lt;=1100,0.2,IF(D16&lt;=1350,0.25,IF(D16&lt;=3000,0.3)))))</f>
        <v>0.3</v>
      </c>
      <c r="N16" s="106">
        <f t="shared" ref="N16" si="58">0.5*(F16*0.001+(0.001*F16+2*M16*K16))*M16*L16</f>
        <v>0</v>
      </c>
      <c r="O16" s="106">
        <v>0</v>
      </c>
      <c r="P16" s="116">
        <v>3.2</v>
      </c>
      <c r="Q16" s="116">
        <v>0.57999999999999996</v>
      </c>
      <c r="R16" s="114">
        <f t="shared" ref="R16" si="59">IF(P16-Q16-D16*0.001-E16*0.001&gt;=0.5,M16+P16+E16*0.001-Q16,M16+E16*0.001*2+D16*0.001+0.5)</f>
        <v>3.1</v>
      </c>
      <c r="S16" s="117">
        <f t="shared" si="34"/>
        <v>0</v>
      </c>
      <c r="T16" s="117">
        <f t="shared" si="35"/>
        <v>0</v>
      </c>
      <c r="U16" s="117">
        <v>0</v>
      </c>
      <c r="V16" s="117">
        <v>0</v>
      </c>
      <c r="W16" s="117">
        <v>0</v>
      </c>
      <c r="X16" s="115">
        <f t="shared" ref="X16" si="60">((AI16+AJ16)*(R16-0.5-D16*0.001-E16*0.001-M16)*0.5*L16-Y16)*1.15</f>
        <v>0</v>
      </c>
      <c r="Y16" s="115">
        <v>0</v>
      </c>
      <c r="Z16" s="115">
        <f t="shared" ref="Z16" si="61">((AG16+AH16)*(D16*0.001*0.5+E16*0.001)*0.5-AK16*0.5)*L16</f>
        <v>0</v>
      </c>
      <c r="AA16" s="115">
        <f t="shared" ref="AA16" si="62">((AH16+AI16)*(D16*0.001*0.5+E16*0.001+0.5)*0.5-AK16*0.5)*L16</f>
        <v>0</v>
      </c>
      <c r="AB16" s="115">
        <f t="shared" si="36"/>
        <v>0</v>
      </c>
      <c r="AC16" s="115">
        <f>T16-Y16</f>
        <v>0</v>
      </c>
      <c r="AD16" s="104" t="str">
        <f t="shared" ref="AD16" si="63">IF(D16&lt;1350,"II级钢筋混凝土承插口管","II级钢筋混凝土企口管")</f>
        <v>II级钢筋混凝土企口管</v>
      </c>
      <c r="AF16" s="119">
        <f t="shared" ref="AF16" si="64">F16*0.001</f>
        <v>3.7600000000000002</v>
      </c>
      <c r="AG16" s="119">
        <f t="shared" ref="AG16" si="65">AF16+M16*K16*2</f>
        <v>3.9580000000000002</v>
      </c>
      <c r="AH16" s="119">
        <f t="shared" ref="AH16" si="66">AG16+(0.5*D16*0.001+E16*0.001)*K16*2</f>
        <v>4.6707999999999998</v>
      </c>
      <c r="AI16" s="119">
        <f t="shared" ref="AI16" si="67">AH16+(D16*0.001*0.5+E16*0.001+0.5)*K16*2</f>
        <v>5.7135999999999996</v>
      </c>
      <c r="AJ16" s="119">
        <f t="shared" ref="AJ16" si="68">AF16+R16*K16*2</f>
        <v>5.8060000000000009</v>
      </c>
      <c r="AK16" s="120">
        <f t="shared" ref="AK16" si="69">3.14*(D16*0.001*0.5+E16*0.001)^2</f>
        <v>3.6624960000000004</v>
      </c>
      <c r="AL16" s="120"/>
      <c r="AM16" s="118">
        <f t="shared" si="16"/>
        <v>0</v>
      </c>
    </row>
    <row r="17" spans="1:39" s="118" customFormat="1" ht="30" hidden="1" customHeight="1" x14ac:dyDescent="0.15">
      <c r="A17" s="112"/>
      <c r="B17" s="233"/>
      <c r="C17" s="112" t="str">
        <f t="shared" si="37"/>
        <v>d2000</v>
      </c>
      <c r="D17" s="248">
        <v>2000</v>
      </c>
      <c r="E17" s="108">
        <f t="shared" si="38"/>
        <v>200</v>
      </c>
      <c r="F17" s="123">
        <f t="shared" si="39"/>
        <v>4000</v>
      </c>
      <c r="G17" s="249">
        <v>0</v>
      </c>
      <c r="H17" s="249">
        <v>0</v>
      </c>
      <c r="I17" s="249">
        <v>0</v>
      </c>
      <c r="J17" s="123">
        <f t="shared" si="40"/>
        <v>800</v>
      </c>
      <c r="K17" s="108">
        <v>0.33</v>
      </c>
      <c r="L17" s="114">
        <v>0</v>
      </c>
      <c r="M17" s="115">
        <f t="shared" si="4"/>
        <v>0.3</v>
      </c>
      <c r="N17" s="106">
        <f t="shared" ref="N17" si="70">0.5*(F17*0.001+(0.001*F17+2*M17*K17))*M17*L17</f>
        <v>0</v>
      </c>
      <c r="O17" s="106">
        <v>0</v>
      </c>
      <c r="P17" s="116">
        <v>3.4</v>
      </c>
      <c r="Q17" s="116">
        <v>0.57999999999999996</v>
      </c>
      <c r="R17" s="114">
        <f t="shared" si="42"/>
        <v>3.32</v>
      </c>
      <c r="S17" s="117">
        <f t="shared" si="34"/>
        <v>0</v>
      </c>
      <c r="T17" s="117">
        <f t="shared" si="35"/>
        <v>0</v>
      </c>
      <c r="U17" s="117">
        <v>0</v>
      </c>
      <c r="V17" s="117">
        <v>0</v>
      </c>
      <c r="W17" s="117">
        <v>0</v>
      </c>
      <c r="X17" s="115">
        <f t="shared" si="43"/>
        <v>0</v>
      </c>
      <c r="Y17" s="115">
        <v>0</v>
      </c>
      <c r="Z17" s="115">
        <f t="shared" si="44"/>
        <v>0</v>
      </c>
      <c r="AA17" s="115">
        <f t="shared" si="45"/>
        <v>0</v>
      </c>
      <c r="AB17" s="115">
        <f t="shared" si="36"/>
        <v>0</v>
      </c>
      <c r="AC17" s="115">
        <f t="shared" ref="AC17" si="71">T17-Y17</f>
        <v>0</v>
      </c>
      <c r="AD17" s="104" t="str">
        <f t="shared" si="46"/>
        <v>II级钢筋混凝土企口管</v>
      </c>
      <c r="AF17" s="119">
        <f t="shared" si="47"/>
        <v>4</v>
      </c>
      <c r="AG17" s="119">
        <f t="shared" si="48"/>
        <v>4.1980000000000004</v>
      </c>
      <c r="AH17" s="119">
        <f t="shared" si="49"/>
        <v>4.99</v>
      </c>
      <c r="AI17" s="119">
        <f t="shared" si="50"/>
        <v>6.1120000000000001</v>
      </c>
      <c r="AJ17" s="119">
        <f t="shared" si="51"/>
        <v>6.1912000000000003</v>
      </c>
      <c r="AK17" s="120">
        <f t="shared" si="52"/>
        <v>4.5216000000000003</v>
      </c>
      <c r="AL17" s="120"/>
      <c r="AM17" s="118">
        <f t="shared" si="16"/>
        <v>0</v>
      </c>
    </row>
    <row r="18" spans="1:39" s="118" customFormat="1" ht="30" hidden="1" customHeight="1" x14ac:dyDescent="0.15">
      <c r="A18" s="112"/>
      <c r="B18" s="112"/>
      <c r="C18" s="112"/>
      <c r="D18" s="248"/>
      <c r="E18" s="108"/>
      <c r="F18" s="123"/>
      <c r="G18" s="249"/>
      <c r="H18" s="249"/>
      <c r="I18" s="249"/>
      <c r="J18" s="123"/>
      <c r="K18" s="108"/>
      <c r="L18" s="114"/>
      <c r="M18" s="115"/>
      <c r="N18" s="106"/>
      <c r="O18" s="106"/>
      <c r="P18" s="116"/>
      <c r="Q18" s="116"/>
      <c r="R18" s="114"/>
      <c r="S18" s="117"/>
      <c r="T18" s="117"/>
      <c r="U18" s="117"/>
      <c r="V18" s="117"/>
      <c r="W18" s="117"/>
      <c r="X18" s="115"/>
      <c r="Y18" s="115"/>
      <c r="Z18" s="115"/>
      <c r="AA18" s="115"/>
      <c r="AB18" s="115" t="s">
        <v>235</v>
      </c>
      <c r="AC18" s="115"/>
      <c r="AD18" s="104"/>
      <c r="AF18" s="119"/>
      <c r="AG18" s="119"/>
      <c r="AH18" s="119"/>
      <c r="AI18" s="119"/>
      <c r="AJ18" s="119"/>
      <c r="AK18" s="120"/>
      <c r="AL18" s="120"/>
      <c r="AM18" s="118">
        <f>SUM(AM8:AM17)</f>
        <v>616.66600000000017</v>
      </c>
    </row>
    <row r="19" spans="1:39" s="118" customFormat="1" ht="20.100000000000001" hidden="1" customHeight="1" x14ac:dyDescent="0.15">
      <c r="A19" s="112"/>
      <c r="B19" s="112"/>
      <c r="C19" s="112"/>
      <c r="D19" s="248"/>
      <c r="E19" s="108"/>
      <c r="F19" s="123"/>
      <c r="G19" s="249"/>
      <c r="H19" s="249"/>
      <c r="I19" s="249"/>
      <c r="J19" s="123"/>
      <c r="K19" s="108"/>
      <c r="L19" s="114"/>
      <c r="M19" s="115"/>
      <c r="N19" s="106"/>
      <c r="O19" s="106"/>
      <c r="P19" s="116"/>
      <c r="Q19" s="116"/>
      <c r="R19" s="114"/>
      <c r="S19" s="117"/>
      <c r="T19" s="117"/>
      <c r="U19" s="117"/>
      <c r="V19" s="117"/>
      <c r="W19" s="117"/>
      <c r="X19" s="115"/>
      <c r="Y19" s="115"/>
      <c r="Z19" s="115"/>
      <c r="AA19" s="115"/>
      <c r="AB19" s="115"/>
      <c r="AC19" s="115"/>
      <c r="AD19" s="104"/>
      <c r="AH19" s="119"/>
      <c r="AI19" s="119"/>
      <c r="AJ19" s="119"/>
      <c r="AK19" s="120"/>
      <c r="AL19" s="120"/>
    </row>
    <row r="20" spans="1:39" s="118" customFormat="1" ht="20.100000000000001" hidden="1" customHeight="1" x14ac:dyDescent="0.15">
      <c r="A20" s="112"/>
      <c r="B20" s="112"/>
      <c r="C20" s="112" t="str">
        <f t="shared" ref="C20:C30" si="72">"d"&amp;D20</f>
        <v>d300</v>
      </c>
      <c r="D20" s="248">
        <v>300</v>
      </c>
      <c r="E20" s="108">
        <f t="shared" ref="E20:E28" si="73">D20/10</f>
        <v>30</v>
      </c>
      <c r="F20" s="123">
        <f>G20+2*J20</f>
        <v>1320</v>
      </c>
      <c r="G20" s="123">
        <f>IF(D20=300,520,IF(D20=400,640,IF(D20=500,800,IF(D20=600,960,IF(D20=800,1280,IF(D20=1000,1600,IF(D20=1200,1920,IF(D20=1350,2160,IF(D20=1500,2400,IF(D20=1650,2640,IF(D20=1800,2800,IF(D20=2000,3200,IF(D20=2200,3520,IF(D20=2400,3780,IF(D20=2800,4330)))))))))))))))</f>
        <v>520</v>
      </c>
      <c r="H20" s="123">
        <f>IF(D20=300,100,IF(D20=400,100,IF(D20=500,100,IF(D20=600,120,IF(D20=800,160,IF(D20=1000,200,IF(D20=1200,240,IF(D20=1350,270,IF(D20=1500,300,IF(D20=1650,330,IF(D20=1800,360,IF(D20=2000,400,IF(D20=2200,440,IF(D20=2400,460,IF(D20=2800,510)))))))))))))))</f>
        <v>100</v>
      </c>
      <c r="I20" s="123">
        <f>IF(D20=300,460,IF(D20=400,580,IF(D20=500,700,IF(D20=600,820,IF(D20=800,1060,IF(D20=1000,1300,IF(D20=1200,1560,IF(D20=1350,1755,IF(D20=1500,1950,IF(D20=1650,2145,IF(D20=1800,2340,IF(D20=2000,2600,IF(D20=2200,2860,IF(D20=2400,3090,IF(D20=2800,3565)))))))))))))))</f>
        <v>460</v>
      </c>
      <c r="J20" s="123">
        <f t="shared" ref="J20:J30" si="74">IF(D20&lt;=500,400,IF(D20&lt;=1000,500,IF(D20&lt;=1500,600,IF(D20&lt;=3000,800))))</f>
        <v>400</v>
      </c>
      <c r="K20" s="108">
        <v>0.33</v>
      </c>
      <c r="L20" s="114">
        <v>0</v>
      </c>
      <c r="M20" s="115">
        <v>0.1</v>
      </c>
      <c r="N20" s="106">
        <f t="shared" ref="N20:N30" si="75">(F20*0.001)*M20*L20</f>
        <v>0</v>
      </c>
      <c r="O20" s="106">
        <f t="shared" ref="O20:O29" si="76">IF(D20=300,0.19*L20,IF(D20=400,0.25*L20,IF(D20=500,0.36*L20,IF(D20=600,0.5*L20,IF(D20=800,0.84*L20,IF(D20=1000,1.27*L20,IF(D20=1200,1.83*L20,IF(D20=1350,2.31*L20,IF(D20=1500,2.86*L20,IF(D20=1650,3.51*L20,IF(D20=1800,4.11*L20,IF(D20=2000,5.1*L20,IF(D20=2200,6.14*L20,IF(D20=2400,6.9*L20,IF(D20=2800,8.8*L20)))))))))))))))</f>
        <v>0</v>
      </c>
      <c r="P20" s="116">
        <v>4</v>
      </c>
      <c r="Q20" s="116">
        <v>0</v>
      </c>
      <c r="R20" s="114">
        <f t="shared" ref="R20:R30" si="77">IF(P20-Q20-D20*0.001-E20*0.001&gt;=0.5,M20+P20+E20*0.001+H20*0.001-Q20,M20+E20*0.001*2+D20*0.001+0.5)</f>
        <v>4.2299999999999995</v>
      </c>
      <c r="S20" s="117">
        <f t="shared" ref="S20:S30" si="78">(AF20+AJ20)*R20*0.5*L20</f>
        <v>0</v>
      </c>
      <c r="T20" s="117">
        <v>0</v>
      </c>
      <c r="U20" s="117">
        <v>0</v>
      </c>
      <c r="V20" s="117">
        <v>0</v>
      </c>
      <c r="W20" s="117">
        <v>0</v>
      </c>
      <c r="X20" s="115">
        <f t="shared" ref="X20:X30" si="79">(AI20+AJ20)*(R20-0.5-D20*0.001-E20*0.001-M20)*0.5*1.15*L20</f>
        <v>0</v>
      </c>
      <c r="Y20" s="115"/>
      <c r="Z20" s="115">
        <v>0</v>
      </c>
      <c r="AA20" s="115">
        <f t="shared" ref="AA20:AA30" si="80">((AF20+AI20)*(M20+H20*0.001+D20*0.001+E20*0.001*2+0.5)*0.5-AL20)*L20-N20</f>
        <v>0</v>
      </c>
      <c r="AB20" s="115">
        <f t="shared" ref="AB20:AB30" si="81">S20-X20</f>
        <v>0</v>
      </c>
      <c r="AC20" s="115"/>
      <c r="AD20" s="104" t="s">
        <v>188</v>
      </c>
      <c r="AF20" s="122">
        <f t="shared" ref="AF20:AF30" si="82">F20*0.001</f>
        <v>1.32</v>
      </c>
      <c r="AG20" s="119">
        <f t="shared" ref="AG20:AG30" si="83">AF20+(M20+H20*0.001)*K20*2</f>
        <v>1.452</v>
      </c>
      <c r="AH20" s="119">
        <f t="shared" ref="AH20:AH30" si="84">AG20+(0.5*D20*0.001+E20*0.001)*K20*2</f>
        <v>1.5708</v>
      </c>
      <c r="AI20" s="119">
        <f t="shared" ref="AI20:AI30" si="85">AH20+(D20*0.001*0.5+E20*0.001+0.5)*K20*2</f>
        <v>2.0196000000000001</v>
      </c>
      <c r="AJ20" s="119">
        <f t="shared" ref="AJ20:AJ30" si="86">AF20+R20*K20*2</f>
        <v>4.1117999999999997</v>
      </c>
      <c r="AK20" s="120">
        <f t="shared" ref="AK20:AK30" si="87">3.14*(D20*0.001*0.5+E20*0.001)^2</f>
        <v>0.10173599999999999</v>
      </c>
      <c r="AL20" s="120">
        <f t="shared" ref="AL20:AL30" si="88">G20*0.001*(H20*0.001+I20*0.001)</f>
        <v>0.29120000000000001</v>
      </c>
    </row>
    <row r="21" spans="1:39" s="118" customFormat="1" ht="20.100000000000001" hidden="1" customHeight="1" x14ac:dyDescent="0.15">
      <c r="A21" s="112"/>
      <c r="B21" s="112"/>
      <c r="C21" s="112" t="str">
        <f t="shared" si="72"/>
        <v>d1000</v>
      </c>
      <c r="D21" s="248">
        <v>1000</v>
      </c>
      <c r="E21" s="108">
        <f t="shared" si="73"/>
        <v>100</v>
      </c>
      <c r="F21" s="123">
        <f t="shared" ref="F21:F30" si="89">G21+2*J21</f>
        <v>2600</v>
      </c>
      <c r="G21" s="123">
        <f t="shared" ref="G21:G29" si="90">IF(D21=300,520,IF(D21=400,640,IF(D21=500,800,IF(D21=600,960,IF(D21=800,1280,IF(D21=1000,1600,IF(D21=1200,1920,IF(D21=1350,2160,IF(D21=1500,2400,IF(D21=1650,2640,IF(D21=1800,2800,IF(D21=2000,3200,IF(D21=2200,3520,IF(D21=2400,3780,IF(D21=2800,4330)))))))))))))))</f>
        <v>1600</v>
      </c>
      <c r="H21" s="123">
        <f t="shared" ref="H21:H29" si="91">IF(D21=300,100,IF(D21=400,100,IF(D21=500,100,IF(D21=600,120,IF(D21=800,160,IF(D21=1000,200,IF(D21=1200,240,IF(D21=1350,270,IF(D21=1500,300,IF(D21=1650,330,IF(D21=1800,360,IF(D21=2000,400,IF(D21=2200,440,IF(D21=2400,460,IF(D21=2800,510)))))))))))))))</f>
        <v>200</v>
      </c>
      <c r="I21" s="123">
        <f t="shared" ref="I21:I29" si="92">IF(D21=300,460,IF(D21=400,580,IF(D21=500,700,IF(D21=600,820,IF(D21=800,1060,IF(D21=1000,1300,IF(D21=1200,1560,IF(D21=1350,1755,IF(D21=1500,1950,IF(D21=1650,2145,IF(D21=1800,2340,IF(D21=2000,2600,IF(D21=2200,2860,IF(D21=2400,3090,IF(D21=2800,3565)))))))))))))))</f>
        <v>1300</v>
      </c>
      <c r="J21" s="123">
        <f t="shared" si="74"/>
        <v>500</v>
      </c>
      <c r="K21" s="108">
        <v>0.67</v>
      </c>
      <c r="L21" s="114">
        <v>0</v>
      </c>
      <c r="M21" s="115">
        <v>0.1</v>
      </c>
      <c r="N21" s="106">
        <f t="shared" si="75"/>
        <v>0</v>
      </c>
      <c r="O21" s="106">
        <f t="shared" si="76"/>
        <v>0</v>
      </c>
      <c r="P21" s="116">
        <v>4</v>
      </c>
      <c r="Q21" s="116">
        <v>0</v>
      </c>
      <c r="R21" s="114">
        <f t="shared" si="77"/>
        <v>4.3999999999999995</v>
      </c>
      <c r="S21" s="117">
        <f t="shared" si="78"/>
        <v>0</v>
      </c>
      <c r="T21" s="117">
        <v>0</v>
      </c>
      <c r="U21" s="117">
        <v>0</v>
      </c>
      <c r="V21" s="117">
        <v>0</v>
      </c>
      <c r="W21" s="117">
        <v>0</v>
      </c>
      <c r="X21" s="115">
        <f t="shared" si="79"/>
        <v>0</v>
      </c>
      <c r="Y21" s="115"/>
      <c r="Z21" s="115">
        <v>0</v>
      </c>
      <c r="AA21" s="115">
        <f t="shared" si="80"/>
        <v>0</v>
      </c>
      <c r="AB21" s="115">
        <f t="shared" si="81"/>
        <v>0</v>
      </c>
      <c r="AC21" s="115"/>
      <c r="AD21" s="104" t="s">
        <v>188</v>
      </c>
      <c r="AF21" s="122">
        <f t="shared" si="82"/>
        <v>2.6</v>
      </c>
      <c r="AG21" s="119">
        <f t="shared" si="83"/>
        <v>3.0020000000000002</v>
      </c>
      <c r="AH21" s="119">
        <f t="shared" si="84"/>
        <v>3.806</v>
      </c>
      <c r="AI21" s="119">
        <f t="shared" si="85"/>
        <v>5.28</v>
      </c>
      <c r="AJ21" s="119">
        <f t="shared" si="86"/>
        <v>8.4960000000000004</v>
      </c>
      <c r="AK21" s="120">
        <f t="shared" si="87"/>
        <v>1.1304000000000001</v>
      </c>
      <c r="AL21" s="120">
        <f t="shared" si="88"/>
        <v>2.4000000000000004</v>
      </c>
    </row>
    <row r="22" spans="1:39" s="118" customFormat="1" ht="20.100000000000001" hidden="1" customHeight="1" x14ac:dyDescent="0.15">
      <c r="A22" s="112"/>
      <c r="B22" s="112"/>
      <c r="C22" s="112" t="str">
        <f t="shared" si="72"/>
        <v>d1200</v>
      </c>
      <c r="D22" s="248">
        <v>1200</v>
      </c>
      <c r="E22" s="108">
        <f t="shared" si="73"/>
        <v>120</v>
      </c>
      <c r="F22" s="123">
        <f t="shared" si="89"/>
        <v>3120</v>
      </c>
      <c r="G22" s="123">
        <f t="shared" si="90"/>
        <v>1920</v>
      </c>
      <c r="H22" s="123">
        <f t="shared" si="91"/>
        <v>240</v>
      </c>
      <c r="I22" s="123">
        <f t="shared" si="92"/>
        <v>1560</v>
      </c>
      <c r="J22" s="123">
        <f t="shared" si="74"/>
        <v>600</v>
      </c>
      <c r="K22" s="108">
        <v>0.67</v>
      </c>
      <c r="L22" s="114">
        <v>0</v>
      </c>
      <c r="M22" s="115">
        <v>0.1</v>
      </c>
      <c r="N22" s="106">
        <f t="shared" si="75"/>
        <v>0</v>
      </c>
      <c r="O22" s="106">
        <f t="shared" si="76"/>
        <v>0</v>
      </c>
      <c r="P22" s="116">
        <v>4</v>
      </c>
      <c r="Q22" s="116">
        <v>0</v>
      </c>
      <c r="R22" s="114">
        <f t="shared" si="77"/>
        <v>4.46</v>
      </c>
      <c r="S22" s="117">
        <f t="shared" si="78"/>
        <v>0</v>
      </c>
      <c r="T22" s="117">
        <v>0</v>
      </c>
      <c r="U22" s="117">
        <v>0</v>
      </c>
      <c r="V22" s="117">
        <v>0</v>
      </c>
      <c r="W22" s="117">
        <v>0</v>
      </c>
      <c r="X22" s="115">
        <f t="shared" si="79"/>
        <v>0</v>
      </c>
      <c r="Y22" s="115"/>
      <c r="Z22" s="115">
        <v>0</v>
      </c>
      <c r="AA22" s="115">
        <f t="shared" si="80"/>
        <v>0</v>
      </c>
      <c r="AB22" s="115">
        <f t="shared" si="81"/>
        <v>0</v>
      </c>
      <c r="AC22" s="115"/>
      <c r="AD22" s="104" t="s">
        <v>188</v>
      </c>
      <c r="AF22" s="122">
        <f t="shared" si="82"/>
        <v>3.12</v>
      </c>
      <c r="AG22" s="119">
        <f t="shared" si="83"/>
        <v>3.5756000000000001</v>
      </c>
      <c r="AH22" s="119">
        <f t="shared" si="84"/>
        <v>4.5404</v>
      </c>
      <c r="AI22" s="119">
        <f t="shared" si="85"/>
        <v>6.1752000000000002</v>
      </c>
      <c r="AJ22" s="119">
        <f t="shared" si="86"/>
        <v>9.0963999999999992</v>
      </c>
      <c r="AK22" s="120">
        <f t="shared" si="87"/>
        <v>1.6277759999999999</v>
      </c>
      <c r="AL22" s="120">
        <f t="shared" si="88"/>
        <v>3.456</v>
      </c>
    </row>
    <row r="23" spans="1:39" s="118" customFormat="1" ht="20.100000000000001" hidden="1" customHeight="1" x14ac:dyDescent="0.15">
      <c r="A23" s="112"/>
      <c r="B23" s="112"/>
      <c r="C23" s="112" t="str">
        <f t="shared" si="72"/>
        <v>d1350</v>
      </c>
      <c r="D23" s="248">
        <v>1350</v>
      </c>
      <c r="E23" s="108">
        <f t="shared" si="73"/>
        <v>135</v>
      </c>
      <c r="F23" s="123">
        <f t="shared" si="89"/>
        <v>3360</v>
      </c>
      <c r="G23" s="123">
        <f t="shared" si="90"/>
        <v>2160</v>
      </c>
      <c r="H23" s="123">
        <f t="shared" si="91"/>
        <v>270</v>
      </c>
      <c r="I23" s="123">
        <f t="shared" si="92"/>
        <v>1755</v>
      </c>
      <c r="J23" s="123">
        <f t="shared" si="74"/>
        <v>600</v>
      </c>
      <c r="K23" s="108">
        <v>0.67</v>
      </c>
      <c r="L23" s="114">
        <v>0</v>
      </c>
      <c r="M23" s="115">
        <v>0.1</v>
      </c>
      <c r="N23" s="106">
        <f t="shared" si="75"/>
        <v>0</v>
      </c>
      <c r="O23" s="106">
        <f t="shared" si="76"/>
        <v>0</v>
      </c>
      <c r="P23" s="116">
        <v>4</v>
      </c>
      <c r="Q23" s="116">
        <v>0</v>
      </c>
      <c r="R23" s="114">
        <f t="shared" si="77"/>
        <v>4.504999999999999</v>
      </c>
      <c r="S23" s="117">
        <f t="shared" si="78"/>
        <v>0</v>
      </c>
      <c r="T23" s="117">
        <v>0</v>
      </c>
      <c r="U23" s="117">
        <v>0</v>
      </c>
      <c r="V23" s="117">
        <v>0</v>
      </c>
      <c r="W23" s="117">
        <v>0</v>
      </c>
      <c r="X23" s="115">
        <f t="shared" si="79"/>
        <v>0</v>
      </c>
      <c r="Y23" s="115"/>
      <c r="Z23" s="115">
        <v>0</v>
      </c>
      <c r="AA23" s="115">
        <f t="shared" si="80"/>
        <v>0</v>
      </c>
      <c r="AB23" s="115">
        <f t="shared" si="81"/>
        <v>0</v>
      </c>
      <c r="AC23" s="115"/>
      <c r="AD23" s="104" t="s">
        <v>188</v>
      </c>
      <c r="AF23" s="122">
        <f t="shared" si="82"/>
        <v>3.36</v>
      </c>
      <c r="AG23" s="119">
        <f t="shared" si="83"/>
        <v>3.8557999999999999</v>
      </c>
      <c r="AH23" s="119">
        <f t="shared" si="84"/>
        <v>4.9412000000000003</v>
      </c>
      <c r="AI23" s="119">
        <f t="shared" si="85"/>
        <v>6.6966000000000001</v>
      </c>
      <c r="AJ23" s="119">
        <f t="shared" si="86"/>
        <v>9.3966999999999992</v>
      </c>
      <c r="AK23" s="120">
        <f t="shared" si="87"/>
        <v>2.0601540000000003</v>
      </c>
      <c r="AL23" s="120">
        <f t="shared" si="88"/>
        <v>4.3740000000000014</v>
      </c>
    </row>
    <row r="24" spans="1:39" s="118" customFormat="1" ht="20.100000000000001" hidden="1" customHeight="1" x14ac:dyDescent="0.15">
      <c r="A24" s="112"/>
      <c r="B24" s="112"/>
      <c r="C24" s="112" t="str">
        <f t="shared" si="72"/>
        <v>d1500</v>
      </c>
      <c r="D24" s="248">
        <v>1500</v>
      </c>
      <c r="E24" s="108">
        <f t="shared" si="73"/>
        <v>150</v>
      </c>
      <c r="F24" s="123">
        <f t="shared" si="89"/>
        <v>3600</v>
      </c>
      <c r="G24" s="123">
        <f t="shared" si="90"/>
        <v>2400</v>
      </c>
      <c r="H24" s="123">
        <f t="shared" si="91"/>
        <v>300</v>
      </c>
      <c r="I24" s="123">
        <f t="shared" si="92"/>
        <v>1950</v>
      </c>
      <c r="J24" s="123">
        <f t="shared" si="74"/>
        <v>600</v>
      </c>
      <c r="K24" s="108">
        <v>0.67</v>
      </c>
      <c r="L24" s="114">
        <v>0</v>
      </c>
      <c r="M24" s="115">
        <v>0.1</v>
      </c>
      <c r="N24" s="106">
        <f t="shared" si="75"/>
        <v>0</v>
      </c>
      <c r="O24" s="106">
        <f t="shared" si="76"/>
        <v>0</v>
      </c>
      <c r="P24" s="116">
        <v>4</v>
      </c>
      <c r="Q24" s="116">
        <v>0</v>
      </c>
      <c r="R24" s="114">
        <f t="shared" si="77"/>
        <v>4.55</v>
      </c>
      <c r="S24" s="117">
        <f t="shared" si="78"/>
        <v>0</v>
      </c>
      <c r="T24" s="117">
        <v>0</v>
      </c>
      <c r="U24" s="117">
        <v>0</v>
      </c>
      <c r="V24" s="117">
        <v>0</v>
      </c>
      <c r="W24" s="117">
        <v>0</v>
      </c>
      <c r="X24" s="115">
        <f t="shared" si="79"/>
        <v>0</v>
      </c>
      <c r="Y24" s="115"/>
      <c r="Z24" s="115">
        <v>0</v>
      </c>
      <c r="AA24" s="115">
        <f t="shared" si="80"/>
        <v>0</v>
      </c>
      <c r="AB24" s="115">
        <f t="shared" si="81"/>
        <v>0</v>
      </c>
      <c r="AC24" s="115"/>
      <c r="AD24" s="104" t="s">
        <v>188</v>
      </c>
      <c r="AF24" s="122">
        <f t="shared" si="82"/>
        <v>3.6</v>
      </c>
      <c r="AG24" s="119">
        <f t="shared" si="83"/>
        <v>4.1360000000000001</v>
      </c>
      <c r="AH24" s="119">
        <f t="shared" si="84"/>
        <v>5.3420000000000005</v>
      </c>
      <c r="AI24" s="119">
        <f t="shared" si="85"/>
        <v>7.218</v>
      </c>
      <c r="AJ24" s="119">
        <f t="shared" si="86"/>
        <v>9.697000000000001</v>
      </c>
      <c r="AK24" s="120">
        <f t="shared" si="87"/>
        <v>2.5434000000000001</v>
      </c>
      <c r="AL24" s="120">
        <f t="shared" si="88"/>
        <v>5.3999999999999995</v>
      </c>
    </row>
    <row r="25" spans="1:39" s="118" customFormat="1" ht="20.100000000000001" hidden="1" customHeight="1" x14ac:dyDescent="0.15">
      <c r="A25" s="112"/>
      <c r="B25" s="112"/>
      <c r="C25" s="112" t="str">
        <f t="shared" si="72"/>
        <v>d1650</v>
      </c>
      <c r="D25" s="248">
        <v>1650</v>
      </c>
      <c r="E25" s="108">
        <f t="shared" si="73"/>
        <v>165</v>
      </c>
      <c r="F25" s="123">
        <f t="shared" si="89"/>
        <v>4240</v>
      </c>
      <c r="G25" s="123">
        <f t="shared" si="90"/>
        <v>2640</v>
      </c>
      <c r="H25" s="123">
        <f t="shared" si="91"/>
        <v>330</v>
      </c>
      <c r="I25" s="123">
        <f t="shared" si="92"/>
        <v>2145</v>
      </c>
      <c r="J25" s="123">
        <f t="shared" si="74"/>
        <v>800</v>
      </c>
      <c r="K25" s="108">
        <v>0.67</v>
      </c>
      <c r="L25" s="114">
        <v>0</v>
      </c>
      <c r="M25" s="115">
        <v>0.1</v>
      </c>
      <c r="N25" s="106">
        <f t="shared" si="75"/>
        <v>0</v>
      </c>
      <c r="O25" s="106">
        <f t="shared" si="76"/>
        <v>0</v>
      </c>
      <c r="P25" s="116">
        <v>4</v>
      </c>
      <c r="Q25" s="116">
        <v>0</v>
      </c>
      <c r="R25" s="114">
        <f t="shared" si="77"/>
        <v>4.5949999999999998</v>
      </c>
      <c r="S25" s="117">
        <f t="shared" si="78"/>
        <v>0</v>
      </c>
      <c r="T25" s="117">
        <v>0</v>
      </c>
      <c r="U25" s="117">
        <v>0</v>
      </c>
      <c r="V25" s="117">
        <v>0</v>
      </c>
      <c r="W25" s="117">
        <v>0</v>
      </c>
      <c r="X25" s="115">
        <f t="shared" si="79"/>
        <v>0</v>
      </c>
      <c r="Y25" s="115"/>
      <c r="Z25" s="115">
        <v>0</v>
      </c>
      <c r="AA25" s="115">
        <f t="shared" si="80"/>
        <v>0</v>
      </c>
      <c r="AB25" s="115">
        <f t="shared" si="81"/>
        <v>0</v>
      </c>
      <c r="AC25" s="115"/>
      <c r="AD25" s="104" t="s">
        <v>188</v>
      </c>
      <c r="AF25" s="122">
        <f t="shared" si="82"/>
        <v>4.24</v>
      </c>
      <c r="AG25" s="119">
        <f t="shared" si="83"/>
        <v>4.8162000000000003</v>
      </c>
      <c r="AH25" s="119">
        <f t="shared" si="84"/>
        <v>6.1428000000000003</v>
      </c>
      <c r="AI25" s="119">
        <f t="shared" si="85"/>
        <v>8.1394000000000002</v>
      </c>
      <c r="AJ25" s="119">
        <f t="shared" si="86"/>
        <v>10.397300000000001</v>
      </c>
      <c r="AK25" s="120">
        <f t="shared" si="87"/>
        <v>3.0775140000000007</v>
      </c>
      <c r="AL25" s="120">
        <f t="shared" si="88"/>
        <v>6.5340000000000007</v>
      </c>
    </row>
    <row r="26" spans="1:39" s="118" customFormat="1" ht="20.100000000000001" hidden="1" customHeight="1" x14ac:dyDescent="0.15">
      <c r="A26" s="112"/>
      <c r="B26" s="112"/>
      <c r="C26" s="112" t="str">
        <f t="shared" si="72"/>
        <v>d1800</v>
      </c>
      <c r="D26" s="248">
        <v>1800</v>
      </c>
      <c r="E26" s="108">
        <f t="shared" si="73"/>
        <v>180</v>
      </c>
      <c r="F26" s="123">
        <f t="shared" si="89"/>
        <v>4400</v>
      </c>
      <c r="G26" s="123">
        <f t="shared" si="90"/>
        <v>2800</v>
      </c>
      <c r="H26" s="123">
        <f t="shared" si="91"/>
        <v>360</v>
      </c>
      <c r="I26" s="123">
        <f t="shared" si="92"/>
        <v>2340</v>
      </c>
      <c r="J26" s="123">
        <f t="shared" si="74"/>
        <v>800</v>
      </c>
      <c r="K26" s="108">
        <v>0.67</v>
      </c>
      <c r="L26" s="114">
        <v>0</v>
      </c>
      <c r="M26" s="115">
        <v>0.1</v>
      </c>
      <c r="N26" s="106">
        <f t="shared" si="75"/>
        <v>0</v>
      </c>
      <c r="O26" s="106">
        <f t="shared" si="76"/>
        <v>0</v>
      </c>
      <c r="P26" s="116">
        <v>4</v>
      </c>
      <c r="Q26" s="116">
        <v>0</v>
      </c>
      <c r="R26" s="114">
        <f t="shared" si="77"/>
        <v>4.6399999999999997</v>
      </c>
      <c r="S26" s="117">
        <f t="shared" si="78"/>
        <v>0</v>
      </c>
      <c r="T26" s="117">
        <v>0</v>
      </c>
      <c r="U26" s="117">
        <v>0</v>
      </c>
      <c r="V26" s="117">
        <v>0</v>
      </c>
      <c r="W26" s="117">
        <v>0</v>
      </c>
      <c r="X26" s="115">
        <f t="shared" si="79"/>
        <v>0</v>
      </c>
      <c r="Y26" s="115"/>
      <c r="Z26" s="115">
        <v>0</v>
      </c>
      <c r="AA26" s="115">
        <f t="shared" si="80"/>
        <v>0</v>
      </c>
      <c r="AB26" s="115">
        <f t="shared" si="81"/>
        <v>0</v>
      </c>
      <c r="AC26" s="115"/>
      <c r="AD26" s="104" t="s">
        <v>188</v>
      </c>
      <c r="AF26" s="122">
        <f t="shared" si="82"/>
        <v>4.4000000000000004</v>
      </c>
      <c r="AG26" s="119">
        <f t="shared" si="83"/>
        <v>5.0164</v>
      </c>
      <c r="AH26" s="119">
        <f t="shared" si="84"/>
        <v>6.4636000000000005</v>
      </c>
      <c r="AI26" s="119">
        <f t="shared" si="85"/>
        <v>8.5808</v>
      </c>
      <c r="AJ26" s="119">
        <f t="shared" si="86"/>
        <v>10.617599999999999</v>
      </c>
      <c r="AK26" s="120">
        <f t="shared" si="87"/>
        <v>3.6624960000000004</v>
      </c>
      <c r="AL26" s="120">
        <f t="shared" si="88"/>
        <v>7.56</v>
      </c>
    </row>
    <row r="27" spans="1:39" s="118" customFormat="1" ht="20.100000000000001" hidden="1" customHeight="1" x14ac:dyDescent="0.15">
      <c r="A27" s="112"/>
      <c r="B27" s="112"/>
      <c r="C27" s="112" t="str">
        <f t="shared" si="72"/>
        <v>d2000</v>
      </c>
      <c r="D27" s="248">
        <v>2000</v>
      </c>
      <c r="E27" s="108">
        <f t="shared" si="73"/>
        <v>200</v>
      </c>
      <c r="F27" s="123">
        <f t="shared" si="89"/>
        <v>4800</v>
      </c>
      <c r="G27" s="123">
        <f t="shared" si="90"/>
        <v>3200</v>
      </c>
      <c r="H27" s="123">
        <f t="shared" si="91"/>
        <v>400</v>
      </c>
      <c r="I27" s="123">
        <f t="shared" si="92"/>
        <v>2600</v>
      </c>
      <c r="J27" s="123">
        <f t="shared" si="74"/>
        <v>800</v>
      </c>
      <c r="K27" s="108">
        <v>0.67</v>
      </c>
      <c r="L27" s="114">
        <v>0</v>
      </c>
      <c r="M27" s="115">
        <v>0.1</v>
      </c>
      <c r="N27" s="106">
        <f t="shared" si="75"/>
        <v>0</v>
      </c>
      <c r="O27" s="106">
        <f t="shared" si="76"/>
        <v>0</v>
      </c>
      <c r="P27" s="116">
        <v>4</v>
      </c>
      <c r="Q27" s="116">
        <v>0</v>
      </c>
      <c r="R27" s="114">
        <f t="shared" si="77"/>
        <v>4.7</v>
      </c>
      <c r="S27" s="117">
        <f t="shared" si="78"/>
        <v>0</v>
      </c>
      <c r="T27" s="117">
        <v>0</v>
      </c>
      <c r="U27" s="117">
        <v>0</v>
      </c>
      <c r="V27" s="117">
        <v>0</v>
      </c>
      <c r="W27" s="117">
        <v>0</v>
      </c>
      <c r="X27" s="115">
        <f t="shared" si="79"/>
        <v>0</v>
      </c>
      <c r="Y27" s="115"/>
      <c r="Z27" s="115">
        <v>0</v>
      </c>
      <c r="AA27" s="115">
        <f t="shared" si="80"/>
        <v>0</v>
      </c>
      <c r="AB27" s="115">
        <f t="shared" si="81"/>
        <v>0</v>
      </c>
      <c r="AC27" s="115"/>
      <c r="AD27" s="104" t="s">
        <v>188</v>
      </c>
      <c r="AF27" s="122">
        <f t="shared" si="82"/>
        <v>4.8</v>
      </c>
      <c r="AG27" s="119">
        <f t="shared" si="83"/>
        <v>5.47</v>
      </c>
      <c r="AH27" s="119">
        <f t="shared" si="84"/>
        <v>7.0779999999999994</v>
      </c>
      <c r="AI27" s="119">
        <f t="shared" si="85"/>
        <v>9.3559999999999999</v>
      </c>
      <c r="AJ27" s="119">
        <f t="shared" si="86"/>
        <v>11.098000000000001</v>
      </c>
      <c r="AK27" s="120">
        <f t="shared" si="87"/>
        <v>4.5216000000000003</v>
      </c>
      <c r="AL27" s="120">
        <f t="shared" si="88"/>
        <v>9.6000000000000014</v>
      </c>
    </row>
    <row r="28" spans="1:39" s="118" customFormat="1" ht="20.100000000000001" hidden="1" customHeight="1" x14ac:dyDescent="0.15">
      <c r="A28" s="112"/>
      <c r="B28" s="112"/>
      <c r="C28" s="112" t="str">
        <f t="shared" si="72"/>
        <v>d2200</v>
      </c>
      <c r="D28" s="248">
        <v>2200</v>
      </c>
      <c r="E28" s="108">
        <f t="shared" si="73"/>
        <v>220</v>
      </c>
      <c r="F28" s="123">
        <f t="shared" si="89"/>
        <v>5120</v>
      </c>
      <c r="G28" s="123">
        <f t="shared" si="90"/>
        <v>3520</v>
      </c>
      <c r="H28" s="123">
        <f t="shared" si="91"/>
        <v>440</v>
      </c>
      <c r="I28" s="123">
        <f t="shared" si="92"/>
        <v>2860</v>
      </c>
      <c r="J28" s="123">
        <f t="shared" si="74"/>
        <v>800</v>
      </c>
      <c r="K28" s="108">
        <v>0.67</v>
      </c>
      <c r="L28" s="114">
        <v>0</v>
      </c>
      <c r="M28" s="115">
        <v>0.1</v>
      </c>
      <c r="N28" s="106">
        <f t="shared" si="75"/>
        <v>0</v>
      </c>
      <c r="O28" s="106">
        <f t="shared" si="76"/>
        <v>0</v>
      </c>
      <c r="P28" s="116">
        <v>4</v>
      </c>
      <c r="Q28" s="116">
        <v>0</v>
      </c>
      <c r="R28" s="114">
        <f t="shared" si="77"/>
        <v>4.76</v>
      </c>
      <c r="S28" s="117">
        <f t="shared" si="78"/>
        <v>0</v>
      </c>
      <c r="T28" s="117">
        <v>0</v>
      </c>
      <c r="U28" s="117">
        <v>0</v>
      </c>
      <c r="V28" s="117">
        <v>0</v>
      </c>
      <c r="W28" s="117">
        <v>0</v>
      </c>
      <c r="X28" s="115">
        <f t="shared" si="79"/>
        <v>0</v>
      </c>
      <c r="Y28" s="115"/>
      <c r="Z28" s="115">
        <v>0</v>
      </c>
      <c r="AA28" s="115">
        <f t="shared" si="80"/>
        <v>0</v>
      </c>
      <c r="AB28" s="115">
        <f t="shared" si="81"/>
        <v>0</v>
      </c>
      <c r="AC28" s="115"/>
      <c r="AD28" s="104" t="s">
        <v>188</v>
      </c>
      <c r="AF28" s="122">
        <f t="shared" si="82"/>
        <v>5.12</v>
      </c>
      <c r="AG28" s="119">
        <f t="shared" si="83"/>
        <v>5.8436000000000003</v>
      </c>
      <c r="AH28" s="119">
        <f t="shared" si="84"/>
        <v>7.6124000000000009</v>
      </c>
      <c r="AI28" s="119">
        <f t="shared" si="85"/>
        <v>10.051200000000001</v>
      </c>
      <c r="AJ28" s="119">
        <f t="shared" si="86"/>
        <v>11.4984</v>
      </c>
      <c r="AK28" s="120">
        <f t="shared" si="87"/>
        <v>5.4711360000000004</v>
      </c>
      <c r="AL28" s="120">
        <f t="shared" si="88"/>
        <v>11.616</v>
      </c>
    </row>
    <row r="29" spans="1:39" s="118" customFormat="1" ht="20.100000000000001" hidden="1" customHeight="1" x14ac:dyDescent="0.15">
      <c r="A29" s="112"/>
      <c r="B29" s="112"/>
      <c r="C29" s="112" t="str">
        <f t="shared" si="72"/>
        <v>d2400</v>
      </c>
      <c r="D29" s="248">
        <v>2400</v>
      </c>
      <c r="E29" s="108">
        <v>230</v>
      </c>
      <c r="F29" s="123">
        <f t="shared" si="89"/>
        <v>5380</v>
      </c>
      <c r="G29" s="123">
        <f t="shared" si="90"/>
        <v>3780</v>
      </c>
      <c r="H29" s="123">
        <f t="shared" si="91"/>
        <v>460</v>
      </c>
      <c r="I29" s="123">
        <f t="shared" si="92"/>
        <v>3090</v>
      </c>
      <c r="J29" s="123">
        <f t="shared" si="74"/>
        <v>800</v>
      </c>
      <c r="K29" s="108">
        <v>0.67</v>
      </c>
      <c r="L29" s="114">
        <v>0</v>
      </c>
      <c r="M29" s="115">
        <v>0.1</v>
      </c>
      <c r="N29" s="106">
        <f t="shared" si="75"/>
        <v>0</v>
      </c>
      <c r="O29" s="106">
        <f t="shared" si="76"/>
        <v>0</v>
      </c>
      <c r="P29" s="116">
        <v>4</v>
      </c>
      <c r="Q29" s="116">
        <v>0</v>
      </c>
      <c r="R29" s="114">
        <f t="shared" si="77"/>
        <v>4.79</v>
      </c>
      <c r="S29" s="117">
        <f t="shared" si="78"/>
        <v>0</v>
      </c>
      <c r="T29" s="117">
        <v>0</v>
      </c>
      <c r="U29" s="117">
        <v>0</v>
      </c>
      <c r="V29" s="117">
        <v>0</v>
      </c>
      <c r="W29" s="117">
        <v>0</v>
      </c>
      <c r="X29" s="115">
        <f t="shared" si="79"/>
        <v>0</v>
      </c>
      <c r="Y29" s="115"/>
      <c r="Z29" s="115">
        <v>0</v>
      </c>
      <c r="AA29" s="115">
        <f t="shared" si="80"/>
        <v>0</v>
      </c>
      <c r="AB29" s="115">
        <f t="shared" si="81"/>
        <v>0</v>
      </c>
      <c r="AC29" s="115"/>
      <c r="AD29" s="104" t="s">
        <v>188</v>
      </c>
      <c r="AF29" s="122">
        <f t="shared" si="82"/>
        <v>5.38</v>
      </c>
      <c r="AG29" s="119">
        <f t="shared" si="83"/>
        <v>6.1303999999999998</v>
      </c>
      <c r="AH29" s="119">
        <f t="shared" si="84"/>
        <v>8.0465999999999998</v>
      </c>
      <c r="AI29" s="119">
        <f t="shared" si="85"/>
        <v>10.6328</v>
      </c>
      <c r="AJ29" s="119">
        <f t="shared" si="86"/>
        <v>11.7986</v>
      </c>
      <c r="AK29" s="120">
        <f t="shared" si="87"/>
        <v>6.4209859999999992</v>
      </c>
      <c r="AL29" s="120">
        <f t="shared" si="88"/>
        <v>13.419</v>
      </c>
    </row>
    <row r="30" spans="1:39" s="118" customFormat="1" ht="20.100000000000001" hidden="1" customHeight="1" x14ac:dyDescent="0.15">
      <c r="A30" s="112"/>
      <c r="B30" s="112"/>
      <c r="C30" s="112" t="str">
        <f t="shared" si="72"/>
        <v>d2600</v>
      </c>
      <c r="D30" s="248">
        <v>2600</v>
      </c>
      <c r="E30" s="108">
        <v>235</v>
      </c>
      <c r="F30" s="123">
        <f t="shared" si="89"/>
        <v>5610</v>
      </c>
      <c r="G30" s="123">
        <f>IF(D30=300,520,IF(D30=400,640,IF(D30=500,800,IF(D30=600,960,IF(D30=800,1280,IF(D30=1000,1600,IF(D30=1200,1920,IF(D30=1350,2160,IF(D30=1500,2400,IF(D30=1650,2640,IF(D30=1800,2800,IF(D30=2000,3200,IF(D30=2200,3520,IF(D30=2400,3780,IF(D30=2600,4010)))))))))))))))</f>
        <v>4010</v>
      </c>
      <c r="H30" s="123">
        <v>470</v>
      </c>
      <c r="I30" s="123">
        <f>IF(D30=300,460,IF(D30=400,580,IF(D30=500,700,IF(D30=600,820,IF(D30=800,1060,IF(D30=1000,1300,IF(D30=1200,1560,IF(D30=1350,1755,IF(D30=1500,1950,IF(D30=1650,2145,IF(D30=1800,2340,IF(D30=2000,2600,IF(D30=2200,2860,IF(D30=2400,3090,IF(D30=2600,3305)))))))))))))))</f>
        <v>3305</v>
      </c>
      <c r="J30" s="123">
        <f t="shared" si="74"/>
        <v>800</v>
      </c>
      <c r="K30" s="108">
        <v>0.67</v>
      </c>
      <c r="L30" s="114">
        <v>0</v>
      </c>
      <c r="M30" s="115">
        <v>0.1</v>
      </c>
      <c r="N30" s="106">
        <f t="shared" si="75"/>
        <v>0</v>
      </c>
      <c r="O30" s="106">
        <f>IF(D30=300,0.19*L30,IF(D30=400,0.25*L30,IF(D30=500,0.36*L30,IF(D30=600,0.5*L30,IF(D30=800,0.84*L30,IF(D30=1000,1.27*L30,IF(D30=1200,1.83*L30,IF(D30=1350,2.31*L30,IF(D30=1500,2.86*L30,IF(D30=1650,3.51*L30,IF(D30=1800,4.11*L30,IF(D30=2000,5.1*L30,IF(D30=2200,6.14*L30,IF(D30=2400,6.9*L30,IF(D30=2600,7.74*L30)))))))))))))))</f>
        <v>0</v>
      </c>
      <c r="P30" s="116">
        <v>4</v>
      </c>
      <c r="Q30" s="116">
        <v>0</v>
      </c>
      <c r="R30" s="114">
        <f t="shared" si="77"/>
        <v>4.8049999999999997</v>
      </c>
      <c r="S30" s="117">
        <f t="shared" si="78"/>
        <v>0</v>
      </c>
      <c r="T30" s="117">
        <v>0</v>
      </c>
      <c r="U30" s="117">
        <v>0</v>
      </c>
      <c r="V30" s="117">
        <v>0</v>
      </c>
      <c r="W30" s="117">
        <v>0</v>
      </c>
      <c r="X30" s="115">
        <f t="shared" si="79"/>
        <v>0</v>
      </c>
      <c r="Y30" s="115"/>
      <c r="Z30" s="115">
        <v>0</v>
      </c>
      <c r="AA30" s="115">
        <f t="shared" si="80"/>
        <v>0</v>
      </c>
      <c r="AB30" s="115">
        <f t="shared" si="81"/>
        <v>0</v>
      </c>
      <c r="AC30" s="115"/>
      <c r="AD30" s="104" t="s">
        <v>188</v>
      </c>
      <c r="AF30" s="122">
        <f t="shared" si="82"/>
        <v>5.61</v>
      </c>
      <c r="AG30" s="119">
        <f t="shared" si="83"/>
        <v>6.3738000000000001</v>
      </c>
      <c r="AH30" s="119">
        <f t="shared" si="84"/>
        <v>8.4306999999999999</v>
      </c>
      <c r="AI30" s="119">
        <f t="shared" si="85"/>
        <v>11.1576</v>
      </c>
      <c r="AJ30" s="119">
        <f t="shared" si="86"/>
        <v>12.0487</v>
      </c>
      <c r="AK30" s="120">
        <f t="shared" si="87"/>
        <v>7.398546500000001</v>
      </c>
      <c r="AL30" s="120">
        <f t="shared" si="88"/>
        <v>15.13775</v>
      </c>
    </row>
    <row r="31" spans="1:39" s="118" customFormat="1" ht="20.100000000000001" hidden="1" customHeight="1" x14ac:dyDescent="0.15">
      <c r="A31" s="112"/>
      <c r="B31" s="112"/>
      <c r="C31" s="112"/>
      <c r="D31" s="248"/>
      <c r="E31" s="108"/>
      <c r="F31" s="123"/>
      <c r="G31" s="249"/>
      <c r="H31" s="249"/>
      <c r="I31" s="249"/>
      <c r="J31" s="123"/>
      <c r="K31" s="108"/>
      <c r="L31" s="114"/>
      <c r="M31" s="115"/>
      <c r="N31" s="106"/>
      <c r="O31" s="106"/>
      <c r="P31" s="116"/>
      <c r="Q31" s="116"/>
      <c r="R31" s="114"/>
      <c r="S31" s="117"/>
      <c r="T31" s="117"/>
      <c r="U31" s="117"/>
      <c r="V31" s="117"/>
      <c r="W31" s="117"/>
      <c r="X31" s="115"/>
      <c r="Y31" s="115"/>
      <c r="Z31" s="115"/>
      <c r="AA31" s="115"/>
      <c r="AB31" s="115"/>
      <c r="AC31" s="115"/>
      <c r="AD31" s="104"/>
      <c r="AH31" s="119"/>
      <c r="AI31" s="119"/>
      <c r="AJ31" s="119"/>
      <c r="AK31" s="120"/>
    </row>
    <row r="32" spans="1:39" s="118" customFormat="1" ht="20.100000000000001" hidden="1" customHeight="1" x14ac:dyDescent="0.15">
      <c r="A32" s="112"/>
      <c r="B32" s="112"/>
      <c r="C32" s="112"/>
      <c r="D32" s="248"/>
      <c r="E32" s="108"/>
      <c r="F32" s="123"/>
      <c r="G32" s="249"/>
      <c r="H32" s="249"/>
      <c r="I32" s="249"/>
      <c r="J32" s="123"/>
      <c r="K32" s="108"/>
      <c r="L32" s="114"/>
      <c r="M32" s="115"/>
      <c r="N32" s="106"/>
      <c r="O32" s="106"/>
      <c r="P32" s="116"/>
      <c r="Q32" s="116"/>
      <c r="R32" s="114"/>
      <c r="S32" s="117"/>
      <c r="T32" s="117"/>
      <c r="U32" s="117"/>
      <c r="V32" s="117"/>
      <c r="W32" s="117"/>
      <c r="X32" s="115"/>
      <c r="Y32" s="115"/>
      <c r="Z32" s="115"/>
      <c r="AA32" s="115"/>
      <c r="AB32" s="115"/>
      <c r="AC32" s="115"/>
      <c r="AD32" s="104"/>
      <c r="AH32" s="119"/>
      <c r="AI32" s="119"/>
      <c r="AJ32" s="119"/>
      <c r="AK32" s="120"/>
    </row>
    <row r="33" spans="1:37" s="118" customFormat="1" ht="16.5" hidden="1" customHeight="1" x14ac:dyDescent="0.15">
      <c r="A33" s="112"/>
      <c r="B33" s="112"/>
      <c r="C33" s="112"/>
      <c r="D33" s="248"/>
      <c r="E33" s="108"/>
      <c r="F33" s="123"/>
      <c r="G33" s="123"/>
      <c r="H33" s="123"/>
      <c r="I33" s="123"/>
      <c r="J33" s="123"/>
      <c r="K33" s="123"/>
      <c r="L33" s="113"/>
      <c r="M33" s="113"/>
      <c r="N33" s="113"/>
      <c r="O33" s="113"/>
      <c r="P33" s="123"/>
      <c r="Q33" s="109"/>
      <c r="R33" s="113"/>
      <c r="S33" s="115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04"/>
      <c r="AH33" s="119"/>
      <c r="AI33" s="119"/>
      <c r="AJ33" s="119"/>
      <c r="AK33" s="120"/>
    </row>
    <row r="34" spans="1:37" s="118" customFormat="1" ht="45" customHeight="1" x14ac:dyDescent="0.15">
      <c r="A34" s="112"/>
      <c r="B34" s="156"/>
      <c r="C34" s="112" t="s">
        <v>189</v>
      </c>
      <c r="D34" s="248"/>
      <c r="E34" s="248"/>
      <c r="F34" s="248"/>
      <c r="G34" s="248"/>
      <c r="H34" s="248"/>
      <c r="I34" s="248"/>
      <c r="J34" s="248"/>
      <c r="K34" s="248"/>
      <c r="L34" s="114">
        <f>SUM(L8:L30)</f>
        <v>232</v>
      </c>
      <c r="M34" s="114"/>
      <c r="N34" s="114">
        <f>SUM(N8:N30)</f>
        <v>56.501350000000002</v>
      </c>
      <c r="O34" s="114">
        <f>O15</f>
        <v>9.3979999999999997</v>
      </c>
      <c r="P34" s="114"/>
      <c r="Q34" s="115"/>
      <c r="R34" s="114"/>
      <c r="S34" s="114">
        <f t="shared" ref="S34:AC34" si="93">SUM(S8:S30)</f>
        <v>1139.7739368</v>
      </c>
      <c r="T34" s="117"/>
      <c r="U34" s="114">
        <f t="shared" si="93"/>
        <v>0</v>
      </c>
      <c r="V34" s="114">
        <f t="shared" si="93"/>
        <v>0</v>
      </c>
      <c r="W34" s="114">
        <f t="shared" si="93"/>
        <v>0</v>
      </c>
      <c r="X34" s="114">
        <f t="shared" si="93"/>
        <v>571.76511945000016</v>
      </c>
      <c r="Y34" s="114">
        <f t="shared" si="93"/>
        <v>0</v>
      </c>
      <c r="Z34" s="114">
        <f t="shared" si="93"/>
        <v>126.02091600000006</v>
      </c>
      <c r="AA34" s="114">
        <f t="shared" si="93"/>
        <v>441.13845199999997</v>
      </c>
      <c r="AB34" s="114">
        <f t="shared" si="93"/>
        <v>797.76798250000002</v>
      </c>
      <c r="AC34" s="114">
        <f t="shared" si="93"/>
        <v>43.093047200000001</v>
      </c>
      <c r="AD34" s="104"/>
      <c r="AF34" s="124"/>
      <c r="AH34" s="119"/>
      <c r="AI34" s="125"/>
      <c r="AJ34" s="119"/>
      <c r="AK34" s="120"/>
    </row>
    <row r="35" spans="1:37" s="124" customFormat="1" ht="30" customHeight="1" x14ac:dyDescent="0.15">
      <c r="A35" s="112"/>
      <c r="B35" s="332" t="s">
        <v>190</v>
      </c>
      <c r="C35" s="332"/>
      <c r="D35" s="248"/>
      <c r="E35" s="135"/>
      <c r="F35" s="135"/>
      <c r="G35" s="135"/>
      <c r="H35" s="135"/>
      <c r="I35" s="135"/>
      <c r="J35" s="135"/>
      <c r="K35" s="135"/>
      <c r="L35" s="126"/>
      <c r="M35" s="127"/>
      <c r="N35" s="126"/>
      <c r="O35" s="127"/>
      <c r="P35" s="128"/>
      <c r="Q35" s="116"/>
      <c r="R35" s="105"/>
      <c r="S35" s="129"/>
      <c r="T35" s="129"/>
      <c r="U35" s="129"/>
      <c r="V35" s="129"/>
      <c r="W35" s="129"/>
      <c r="X35" s="130"/>
      <c r="Y35" s="130"/>
      <c r="Z35" s="130"/>
      <c r="AA35" s="130"/>
      <c r="AB35" s="130"/>
      <c r="AC35" s="130"/>
      <c r="AD35" s="131"/>
      <c r="AH35" s="125"/>
      <c r="AI35" s="125"/>
      <c r="AJ35" s="125"/>
      <c r="AK35" s="132"/>
    </row>
    <row r="36" spans="1:37" s="124" customFormat="1" ht="30" customHeight="1" x14ac:dyDescent="0.15">
      <c r="A36" s="112"/>
      <c r="B36" s="331" t="s">
        <v>191</v>
      </c>
      <c r="C36" s="331"/>
      <c r="D36" s="248"/>
      <c r="E36" s="135"/>
      <c r="F36" s="135"/>
      <c r="G36" s="135"/>
      <c r="H36" s="135"/>
      <c r="I36" s="135"/>
      <c r="J36" s="135"/>
      <c r="K36" s="135"/>
      <c r="L36" s="106" t="s">
        <v>192</v>
      </c>
      <c r="M36" s="127"/>
      <c r="N36" s="106">
        <f>S34</f>
        <v>1139.7739368</v>
      </c>
      <c r="O36" s="127"/>
      <c r="P36" s="128"/>
      <c r="Q36" s="109"/>
      <c r="R36" s="105"/>
      <c r="S36" s="129"/>
      <c r="T36" s="129"/>
      <c r="U36" s="129"/>
      <c r="V36" s="129"/>
      <c r="W36" s="129"/>
      <c r="X36" s="130"/>
      <c r="Y36" s="130"/>
      <c r="Z36" s="130"/>
      <c r="AA36" s="130"/>
      <c r="AB36" s="130"/>
      <c r="AC36" s="130"/>
      <c r="AD36" s="131"/>
      <c r="AH36" s="125"/>
      <c r="AI36" s="125"/>
      <c r="AJ36" s="125"/>
      <c r="AK36" s="132"/>
    </row>
    <row r="37" spans="1:37" s="124" customFormat="1" ht="30" customHeight="1" x14ac:dyDescent="0.15">
      <c r="A37" s="112"/>
      <c r="B37" s="328" t="s">
        <v>366</v>
      </c>
      <c r="C37" s="328"/>
      <c r="D37" s="248"/>
      <c r="E37" s="135"/>
      <c r="F37" s="135"/>
      <c r="G37" s="135"/>
      <c r="H37" s="135"/>
      <c r="I37" s="135"/>
      <c r="J37" s="135"/>
      <c r="K37" s="135"/>
      <c r="L37" s="106" t="s">
        <v>192</v>
      </c>
      <c r="M37" s="127"/>
      <c r="N37" s="106">
        <f>T34</f>
        <v>0</v>
      </c>
      <c r="O37" s="127"/>
      <c r="P37" s="128"/>
      <c r="Q37" s="109"/>
      <c r="R37" s="105"/>
      <c r="S37" s="129"/>
      <c r="T37" s="133"/>
      <c r="U37" s="129"/>
      <c r="V37" s="129"/>
      <c r="W37" s="129"/>
      <c r="X37" s="130"/>
      <c r="Y37" s="130"/>
      <c r="Z37" s="130"/>
      <c r="AA37" s="130"/>
      <c r="AB37" s="130"/>
      <c r="AC37" s="130"/>
      <c r="AD37" s="131"/>
      <c r="AH37" s="125"/>
      <c r="AI37" s="125"/>
      <c r="AJ37" s="125"/>
      <c r="AK37" s="132"/>
    </row>
    <row r="38" spans="1:37" s="124" customFormat="1" ht="30" customHeight="1" x14ac:dyDescent="0.15">
      <c r="A38" s="112"/>
      <c r="B38" s="112" t="s">
        <v>183</v>
      </c>
      <c r="C38" s="112"/>
      <c r="D38" s="248"/>
      <c r="E38" s="135"/>
      <c r="F38" s="135"/>
      <c r="G38" s="135"/>
      <c r="H38" s="135"/>
      <c r="I38" s="135"/>
      <c r="J38" s="135"/>
      <c r="K38" s="135"/>
      <c r="L38" s="106" t="s">
        <v>192</v>
      </c>
      <c r="M38" s="104"/>
      <c r="N38" s="106">
        <v>0</v>
      </c>
      <c r="O38" s="113"/>
      <c r="P38" s="108"/>
      <c r="Q38" s="109"/>
      <c r="R38" s="131"/>
      <c r="S38" s="130"/>
      <c r="T38" s="129"/>
      <c r="U38" s="129"/>
      <c r="V38" s="129"/>
      <c r="W38" s="129"/>
      <c r="X38" s="130"/>
      <c r="Y38" s="130"/>
      <c r="Z38" s="130"/>
      <c r="AA38" s="130"/>
      <c r="AB38" s="130"/>
      <c r="AC38" s="130"/>
      <c r="AD38" s="131"/>
      <c r="AH38" s="125"/>
      <c r="AI38" s="125"/>
      <c r="AJ38" s="125"/>
      <c r="AK38" s="132"/>
    </row>
    <row r="39" spans="1:37" s="124" customFormat="1" ht="30" customHeight="1" x14ac:dyDescent="0.15">
      <c r="A39" s="112"/>
      <c r="B39" s="112" t="s">
        <v>193</v>
      </c>
      <c r="C39" s="112"/>
      <c r="D39" s="248"/>
      <c r="E39" s="135"/>
      <c r="F39" s="135"/>
      <c r="G39" s="135"/>
      <c r="H39" s="135"/>
      <c r="I39" s="135"/>
      <c r="J39" s="135"/>
      <c r="K39" s="135"/>
      <c r="L39" s="106" t="s">
        <v>192</v>
      </c>
      <c r="M39" s="104"/>
      <c r="N39" s="106">
        <f>W34</f>
        <v>0</v>
      </c>
      <c r="O39" s="113"/>
      <c r="P39" s="108"/>
      <c r="Q39" s="109"/>
      <c r="R39" s="131"/>
      <c r="S39" s="130"/>
      <c r="T39" s="129"/>
      <c r="U39" s="129"/>
      <c r="V39" s="129"/>
      <c r="W39" s="129"/>
      <c r="X39" s="130"/>
      <c r="Y39" s="130"/>
      <c r="Z39" s="130"/>
      <c r="AA39" s="130"/>
      <c r="AB39" s="130"/>
      <c r="AC39" s="130"/>
      <c r="AD39" s="131"/>
      <c r="AH39" s="125"/>
      <c r="AI39" s="125"/>
      <c r="AJ39" s="125"/>
      <c r="AK39" s="132"/>
    </row>
    <row r="40" spans="1:37" s="124" customFormat="1" ht="30" customHeight="1" x14ac:dyDescent="0.15">
      <c r="A40" s="112"/>
      <c r="B40" s="131" t="s">
        <v>317</v>
      </c>
      <c r="C40" s="131"/>
      <c r="D40" s="248"/>
      <c r="E40" s="135"/>
      <c r="F40" s="135"/>
      <c r="G40" s="135"/>
      <c r="H40" s="135"/>
      <c r="I40" s="135"/>
      <c r="J40" s="135"/>
      <c r="K40" s="135"/>
      <c r="L40" s="106"/>
      <c r="M40" s="127"/>
      <c r="N40" s="106"/>
      <c r="O40" s="113"/>
      <c r="P40" s="128"/>
      <c r="Q40" s="109"/>
      <c r="R40" s="105"/>
      <c r="S40" s="105"/>
      <c r="T40" s="105"/>
      <c r="U40" s="105"/>
      <c r="V40" s="105"/>
      <c r="W40" s="105"/>
      <c r="X40" s="130"/>
      <c r="Y40" s="130"/>
      <c r="Z40" s="130"/>
      <c r="AA40" s="134"/>
      <c r="AB40" s="130"/>
      <c r="AC40" s="130"/>
      <c r="AD40" s="131"/>
      <c r="AH40" s="125"/>
      <c r="AI40" s="125"/>
      <c r="AJ40" s="125"/>
      <c r="AK40" s="132"/>
    </row>
    <row r="41" spans="1:37" s="124" customFormat="1" ht="30" customHeight="1" x14ac:dyDescent="0.15">
      <c r="A41" s="112"/>
      <c r="B41" s="328" t="s">
        <v>318</v>
      </c>
      <c r="C41" s="331"/>
      <c r="D41" s="248"/>
      <c r="E41" s="135"/>
      <c r="F41" s="135"/>
      <c r="G41" s="135"/>
      <c r="H41" s="135"/>
      <c r="I41" s="135"/>
      <c r="J41" s="135"/>
      <c r="K41" s="135"/>
      <c r="L41" s="106" t="s">
        <v>192</v>
      </c>
      <c r="M41" s="127"/>
      <c r="N41" s="106">
        <f>X34</f>
        <v>571.76511945000016</v>
      </c>
      <c r="O41" s="113"/>
      <c r="P41" s="128"/>
      <c r="Q41" s="109"/>
      <c r="R41" s="105"/>
      <c r="S41" s="105"/>
      <c r="T41" s="105"/>
      <c r="U41" s="105"/>
      <c r="V41" s="105"/>
      <c r="W41" s="105"/>
      <c r="X41" s="130"/>
      <c r="Y41" s="130"/>
      <c r="Z41" s="130"/>
      <c r="AA41" s="134"/>
      <c r="AB41" s="130"/>
      <c r="AC41" s="130"/>
      <c r="AD41" s="131"/>
      <c r="AH41" s="125"/>
      <c r="AI41" s="125"/>
      <c r="AJ41" s="125"/>
      <c r="AK41" s="132"/>
    </row>
    <row r="42" spans="1:37" s="124" customFormat="1" ht="30" customHeight="1" x14ac:dyDescent="0.15">
      <c r="A42" s="131"/>
      <c r="B42" s="328" t="s">
        <v>43</v>
      </c>
      <c r="C42" s="328"/>
      <c r="D42" s="248"/>
      <c r="E42" s="135"/>
      <c r="F42" s="135"/>
      <c r="G42" s="135"/>
      <c r="H42" s="135"/>
      <c r="I42" s="135"/>
      <c r="J42" s="135"/>
      <c r="K42" s="135"/>
      <c r="L42" s="106" t="s">
        <v>192</v>
      </c>
      <c r="M42" s="127"/>
      <c r="N42" s="106">
        <f>Y34</f>
        <v>0</v>
      </c>
      <c r="O42" s="113"/>
      <c r="P42" s="128"/>
      <c r="Q42" s="109"/>
      <c r="R42" s="105"/>
      <c r="S42" s="105"/>
      <c r="T42" s="129"/>
      <c r="U42" s="105"/>
      <c r="V42" s="105"/>
      <c r="W42" s="105"/>
      <c r="X42" s="130"/>
      <c r="Y42" s="130"/>
      <c r="Z42" s="130"/>
      <c r="AA42" s="134"/>
      <c r="AB42" s="130"/>
      <c r="AC42" s="130"/>
      <c r="AD42" s="131"/>
      <c r="AH42" s="125"/>
      <c r="AI42" s="125"/>
      <c r="AJ42" s="125"/>
      <c r="AK42" s="132"/>
    </row>
    <row r="43" spans="1:37" s="124" customFormat="1" ht="30" customHeight="1" x14ac:dyDescent="0.15">
      <c r="A43" s="131"/>
      <c r="B43" s="332" t="s">
        <v>194</v>
      </c>
      <c r="C43" s="332"/>
      <c r="D43" s="135"/>
      <c r="E43" s="135"/>
      <c r="F43" s="135"/>
      <c r="G43" s="135"/>
      <c r="H43" s="135"/>
      <c r="I43" s="135"/>
      <c r="J43" s="135"/>
      <c r="K43" s="135"/>
      <c r="L43" s="106"/>
      <c r="M43" s="127"/>
      <c r="N43" s="106"/>
      <c r="O43" s="113"/>
      <c r="P43" s="128"/>
      <c r="Q43" s="109"/>
      <c r="R43" s="105"/>
      <c r="S43" s="105"/>
      <c r="T43" s="105"/>
      <c r="U43" s="105"/>
      <c r="V43" s="105"/>
      <c r="W43" s="105"/>
      <c r="X43" s="130"/>
      <c r="Y43" s="130"/>
      <c r="Z43" s="130"/>
      <c r="AA43" s="130"/>
      <c r="AB43" s="130"/>
      <c r="AC43" s="130"/>
      <c r="AD43" s="131"/>
      <c r="AH43" s="125"/>
      <c r="AI43" s="125"/>
      <c r="AJ43" s="125"/>
      <c r="AK43" s="132"/>
    </row>
    <row r="44" spans="1:37" s="124" customFormat="1" ht="30" customHeight="1" x14ac:dyDescent="0.15">
      <c r="A44" s="131"/>
      <c r="B44" s="331" t="s">
        <v>236</v>
      </c>
      <c r="C44" s="331"/>
      <c r="D44" s="135"/>
      <c r="E44" s="135"/>
      <c r="F44" s="135"/>
      <c r="G44" s="135"/>
      <c r="H44" s="135"/>
      <c r="I44" s="135"/>
      <c r="J44" s="135"/>
      <c r="K44" s="135"/>
      <c r="L44" s="106" t="s">
        <v>192</v>
      </c>
      <c r="M44" s="127"/>
      <c r="N44" s="106">
        <f>AB34</f>
        <v>797.76798250000002</v>
      </c>
      <c r="O44" s="113"/>
      <c r="P44" s="128"/>
      <c r="Q44" s="109"/>
      <c r="R44" s="105"/>
      <c r="S44" s="129"/>
      <c r="T44" s="105"/>
      <c r="U44" s="105"/>
      <c r="V44" s="105"/>
      <c r="W44" s="105"/>
      <c r="X44" s="130"/>
      <c r="Y44" s="130"/>
      <c r="Z44" s="130"/>
      <c r="AA44" s="130"/>
      <c r="AB44" s="130"/>
      <c r="AC44" s="130"/>
      <c r="AD44" s="131"/>
      <c r="AH44" s="125"/>
      <c r="AI44" s="125"/>
      <c r="AJ44" s="125"/>
      <c r="AK44" s="132"/>
    </row>
    <row r="45" spans="1:37" s="124" customFormat="1" ht="30" customHeight="1" x14ac:dyDescent="0.15">
      <c r="A45" s="131"/>
      <c r="B45" s="328" t="s">
        <v>43</v>
      </c>
      <c r="C45" s="328"/>
      <c r="D45" s="135"/>
      <c r="E45" s="135"/>
      <c r="F45" s="135"/>
      <c r="G45" s="135"/>
      <c r="H45" s="135"/>
      <c r="I45" s="135"/>
      <c r="J45" s="135"/>
      <c r="K45" s="135"/>
      <c r="L45" s="106" t="s">
        <v>192</v>
      </c>
      <c r="M45" s="127"/>
      <c r="N45" s="106">
        <f>AC34</f>
        <v>43.093047200000001</v>
      </c>
      <c r="O45" s="113"/>
      <c r="P45" s="128"/>
      <c r="Q45" s="109"/>
      <c r="R45" s="105"/>
      <c r="S45" s="105"/>
      <c r="T45" s="105"/>
      <c r="U45" s="105"/>
      <c r="V45" s="105"/>
      <c r="W45" s="105"/>
      <c r="X45" s="130"/>
      <c r="Y45" s="130"/>
      <c r="Z45" s="130"/>
      <c r="AA45" s="130"/>
      <c r="AB45" s="130"/>
      <c r="AC45" s="130"/>
      <c r="AD45" s="131"/>
      <c r="AH45" s="125"/>
      <c r="AI45" s="125"/>
      <c r="AJ45" s="125"/>
      <c r="AK45" s="132"/>
    </row>
    <row r="46" spans="1:37" s="124" customFormat="1" ht="30" hidden="1" customHeight="1" x14ac:dyDescent="0.15">
      <c r="A46" s="131"/>
      <c r="B46" s="331" t="s">
        <v>195</v>
      </c>
      <c r="C46" s="331"/>
      <c r="D46" s="135"/>
      <c r="E46" s="135"/>
      <c r="F46" s="135"/>
      <c r="G46" s="135"/>
      <c r="H46" s="135"/>
      <c r="I46" s="135"/>
      <c r="J46" s="135"/>
      <c r="K46" s="135"/>
      <c r="L46" s="106" t="s">
        <v>192</v>
      </c>
      <c r="M46" s="127"/>
      <c r="N46" s="106">
        <v>0</v>
      </c>
      <c r="O46" s="113"/>
      <c r="P46" s="128"/>
      <c r="Q46" s="109"/>
      <c r="R46" s="105"/>
      <c r="S46" s="105"/>
      <c r="T46" s="105"/>
      <c r="U46" s="105"/>
      <c r="V46" s="105"/>
      <c r="W46" s="105"/>
      <c r="X46" s="130"/>
      <c r="Y46" s="130"/>
      <c r="Z46" s="130"/>
      <c r="AA46" s="130"/>
      <c r="AB46" s="130"/>
      <c r="AC46" s="130"/>
      <c r="AD46" s="131"/>
      <c r="AH46" s="125"/>
      <c r="AI46" s="125"/>
      <c r="AJ46" s="125"/>
      <c r="AK46" s="132"/>
    </row>
    <row r="47" spans="1:37" s="124" customFormat="1" ht="30" hidden="1" customHeight="1" x14ac:dyDescent="0.15">
      <c r="A47" s="131"/>
      <c r="B47" s="331" t="s">
        <v>193</v>
      </c>
      <c r="C47" s="331"/>
      <c r="D47" s="135"/>
      <c r="E47" s="135"/>
      <c r="F47" s="135"/>
      <c r="G47" s="135"/>
      <c r="H47" s="135"/>
      <c r="I47" s="135"/>
      <c r="J47" s="135"/>
      <c r="K47" s="135"/>
      <c r="L47" s="106" t="s">
        <v>192</v>
      </c>
      <c r="M47" s="127"/>
      <c r="N47" s="106">
        <f>N39</f>
        <v>0</v>
      </c>
      <c r="O47" s="113"/>
      <c r="P47" s="128"/>
      <c r="Q47" s="109"/>
      <c r="R47" s="105"/>
      <c r="S47" s="105"/>
      <c r="T47" s="105"/>
      <c r="U47" s="105"/>
      <c r="V47" s="105"/>
      <c r="W47" s="105"/>
      <c r="X47" s="130"/>
      <c r="Y47" s="130"/>
      <c r="Z47" s="130"/>
      <c r="AA47" s="130"/>
      <c r="AB47" s="130"/>
      <c r="AC47" s="130"/>
      <c r="AD47" s="131"/>
      <c r="AH47" s="125"/>
      <c r="AI47" s="125"/>
      <c r="AJ47" s="125"/>
      <c r="AK47" s="132"/>
    </row>
    <row r="48" spans="1:37" s="124" customFormat="1" ht="30" customHeight="1" x14ac:dyDescent="0.15">
      <c r="A48" s="131"/>
      <c r="B48" s="332" t="s">
        <v>319</v>
      </c>
      <c r="C48" s="332"/>
      <c r="D48" s="135"/>
      <c r="E48" s="135"/>
      <c r="F48" s="135"/>
      <c r="G48" s="135"/>
      <c r="H48" s="135"/>
      <c r="I48" s="135"/>
      <c r="J48" s="135"/>
      <c r="K48" s="135"/>
      <c r="L48" s="106" t="s">
        <v>192</v>
      </c>
      <c r="M48" s="127"/>
      <c r="N48" s="106">
        <f>N34</f>
        <v>56.501350000000002</v>
      </c>
      <c r="O48" s="113"/>
      <c r="P48" s="128"/>
      <c r="Q48" s="109"/>
      <c r="R48" s="105"/>
      <c r="S48" s="105"/>
      <c r="T48" s="105"/>
      <c r="U48" s="105"/>
      <c r="V48" s="105"/>
      <c r="W48" s="105"/>
      <c r="X48" s="130"/>
      <c r="Y48" s="130"/>
      <c r="Z48" s="130"/>
      <c r="AA48" s="130"/>
      <c r="AB48" s="130"/>
      <c r="AC48" s="130"/>
      <c r="AD48" s="131"/>
      <c r="AH48" s="125"/>
      <c r="AI48" s="125"/>
      <c r="AJ48" s="125"/>
      <c r="AK48" s="132"/>
    </row>
    <row r="49" spans="1:37" s="124" customFormat="1" ht="30" customHeight="1" x14ac:dyDescent="0.15">
      <c r="A49" s="131"/>
      <c r="B49" s="332" t="s">
        <v>320</v>
      </c>
      <c r="C49" s="332"/>
      <c r="D49" s="135"/>
      <c r="E49" s="135"/>
      <c r="F49" s="135"/>
      <c r="G49" s="135"/>
      <c r="H49" s="135"/>
      <c r="I49" s="135"/>
      <c r="J49" s="135"/>
      <c r="K49" s="135"/>
      <c r="L49" s="106" t="s">
        <v>192</v>
      </c>
      <c r="M49" s="127"/>
      <c r="N49" s="106">
        <f>Z34</f>
        <v>126.02091600000006</v>
      </c>
      <c r="O49" s="113"/>
      <c r="P49" s="128"/>
      <c r="Q49" s="109"/>
      <c r="R49" s="105"/>
      <c r="S49" s="105"/>
      <c r="T49" s="105"/>
      <c r="U49" s="105"/>
      <c r="V49" s="105"/>
      <c r="W49" s="105"/>
      <c r="X49" s="130"/>
      <c r="Y49" s="130"/>
      <c r="Z49" s="130"/>
      <c r="AA49" s="130"/>
      <c r="AB49" s="130"/>
      <c r="AC49" s="130"/>
      <c r="AD49" s="131"/>
      <c r="AH49" s="125"/>
      <c r="AI49" s="125"/>
      <c r="AJ49" s="125"/>
      <c r="AK49" s="132"/>
    </row>
    <row r="50" spans="1:37" s="124" customFormat="1" ht="30" customHeight="1" x14ac:dyDescent="0.15">
      <c r="A50" s="131"/>
      <c r="B50" s="332" t="s">
        <v>321</v>
      </c>
      <c r="C50" s="332"/>
      <c r="D50" s="135"/>
      <c r="E50" s="135"/>
      <c r="F50" s="135"/>
      <c r="G50" s="135"/>
      <c r="H50" s="135"/>
      <c r="I50" s="135"/>
      <c r="J50" s="135"/>
      <c r="K50" s="135"/>
      <c r="L50" s="106" t="s">
        <v>192</v>
      </c>
      <c r="M50" s="127"/>
      <c r="N50" s="106">
        <f>AA34</f>
        <v>441.13845199999997</v>
      </c>
      <c r="O50" s="113"/>
      <c r="P50" s="128"/>
      <c r="Q50" s="109"/>
      <c r="R50" s="104"/>
      <c r="S50" s="105"/>
      <c r="T50" s="104"/>
      <c r="U50" s="104"/>
      <c r="V50" s="104"/>
      <c r="W50" s="104"/>
      <c r="X50" s="130"/>
      <c r="Y50" s="130"/>
      <c r="Z50" s="130"/>
      <c r="AA50" s="130"/>
      <c r="AB50" s="130"/>
      <c r="AC50" s="130"/>
      <c r="AD50" s="131"/>
      <c r="AH50" s="125"/>
      <c r="AI50" s="125"/>
      <c r="AJ50" s="125"/>
      <c r="AK50" s="132"/>
    </row>
    <row r="51" spans="1:37" ht="32.25" customHeight="1" x14ac:dyDescent="0.15">
      <c r="C51" s="87"/>
      <c r="M51" s="139"/>
      <c r="T51" s="139"/>
      <c r="U51" s="139"/>
      <c r="V51" s="137"/>
      <c r="W51" s="137"/>
      <c r="X51" s="139"/>
      <c r="Y51" s="139"/>
      <c r="AA51" s="143"/>
      <c r="AD51" s="142"/>
    </row>
    <row r="52" spans="1:37" ht="20.100000000000001" customHeight="1" x14ac:dyDescent="0.15"/>
    <row r="53" spans="1:37" ht="20.100000000000001" customHeight="1" x14ac:dyDescent="0.15"/>
    <row r="54" spans="1:37" ht="20.100000000000001" customHeight="1" x14ac:dyDescent="0.15"/>
    <row r="55" spans="1:37" ht="20.100000000000001" customHeight="1" x14ac:dyDescent="0.15"/>
    <row r="56" spans="1:37" ht="20.100000000000001" customHeight="1" x14ac:dyDescent="0.15"/>
  </sheetData>
  <autoFilter ref="A7:AJ18" xr:uid="{00000000-0009-0000-0000-000001000000}"/>
  <mergeCells count="47">
    <mergeCell ref="B46:C46"/>
    <mergeCell ref="B47:C47"/>
    <mergeCell ref="B48:C48"/>
    <mergeCell ref="B49:C49"/>
    <mergeCell ref="B50:C50"/>
    <mergeCell ref="AK4:AK6"/>
    <mergeCell ref="AL4:AL6"/>
    <mergeCell ref="B35:C35"/>
    <mergeCell ref="B36:C36"/>
    <mergeCell ref="AC4:AC5"/>
    <mergeCell ref="AD4:AD6"/>
    <mergeCell ref="AF4:AF6"/>
    <mergeCell ref="AG4:AG6"/>
    <mergeCell ref="AH4:AH6"/>
    <mergeCell ref="AI4:AI6"/>
    <mergeCell ref="P4:P5"/>
    <mergeCell ref="Q4:Q5"/>
    <mergeCell ref="R4:R5"/>
    <mergeCell ref="M4:M5"/>
    <mergeCell ref="N4:N5"/>
    <mergeCell ref="L4:L5"/>
    <mergeCell ref="O4:O5"/>
    <mergeCell ref="B45:C45"/>
    <mergeCell ref="AJ4:AJ6"/>
    <mergeCell ref="B37:C37"/>
    <mergeCell ref="B41:C41"/>
    <mergeCell ref="B42:C42"/>
    <mergeCell ref="B43:C43"/>
    <mergeCell ref="B44:C44"/>
    <mergeCell ref="B8:B10"/>
    <mergeCell ref="B14:B15"/>
    <mergeCell ref="O2:S2"/>
    <mergeCell ref="B3:M3"/>
    <mergeCell ref="A1:AD1"/>
    <mergeCell ref="AB3:AD3"/>
    <mergeCell ref="A4:A6"/>
    <mergeCell ref="B4:B6"/>
    <mergeCell ref="C4:C6"/>
    <mergeCell ref="D4:D6"/>
    <mergeCell ref="E4:E6"/>
    <mergeCell ref="F4:F6"/>
    <mergeCell ref="G4:I4"/>
    <mergeCell ref="S4:W4"/>
    <mergeCell ref="X4:AA4"/>
    <mergeCell ref="AB4:AB5"/>
    <mergeCell ref="J4:J5"/>
    <mergeCell ref="K4:K5"/>
  </mergeCells>
  <phoneticPr fontId="6" type="noConversion"/>
  <printOptions horizontalCentered="1"/>
  <pageMargins left="0.78740157480314965" right="0.39370078740157483" top="0.78740157480314965" bottom="0.78740157480314965" header="0.51181102362204722" footer="0.51181102362204722"/>
  <pageSetup paperSize="8"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U133"/>
  <sheetViews>
    <sheetView view="pageBreakPreview" zoomScaleNormal="100" zoomScaleSheetLayoutView="100" workbookViewId="0">
      <selection activeCell="B69" sqref="B69"/>
    </sheetView>
  </sheetViews>
  <sheetFormatPr defaultColWidth="9" defaultRowHeight="14.25" x14ac:dyDescent="0.15"/>
  <cols>
    <col min="1" max="1" width="28.5" style="1" customWidth="1"/>
    <col min="2" max="2" width="5.75" style="1" customWidth="1"/>
    <col min="3" max="3" width="23.25" style="1" customWidth="1"/>
    <col min="4" max="4" width="11" style="1" customWidth="1"/>
    <col min="5" max="5" width="9.25" style="1" customWidth="1"/>
    <col min="6" max="6" width="11.625" style="2" customWidth="1"/>
    <col min="7" max="7" width="9.375" style="1" hidden="1" customWidth="1"/>
    <col min="8" max="8" width="8.25" style="1" hidden="1" customWidth="1"/>
    <col min="9" max="9" width="9.5" style="1" hidden="1" customWidth="1"/>
    <col min="10" max="10" width="10.25" style="1" hidden="1" customWidth="1"/>
    <col min="11" max="11" width="15.875" style="1" customWidth="1"/>
    <col min="12" max="12" width="11.375" style="1" customWidth="1"/>
    <col min="13" max="13" width="14.375" style="1" customWidth="1"/>
    <col min="14" max="14" width="7.125" style="1" hidden="1" customWidth="1"/>
    <col min="15" max="15" width="6.5" style="1" hidden="1" customWidth="1"/>
    <col min="16" max="16" width="8.5" style="1" hidden="1" customWidth="1"/>
    <col min="17" max="17" width="8.375" style="1" hidden="1" customWidth="1"/>
    <col min="18" max="18" width="6.875" style="1" hidden="1" customWidth="1"/>
    <col min="19" max="20" width="7.875" style="1" customWidth="1"/>
    <col min="21" max="21" width="8.875" style="1" customWidth="1"/>
    <col min="22" max="22" width="7.875" style="1" customWidth="1"/>
    <col min="23" max="23" width="8.75" style="1" customWidth="1"/>
    <col min="24" max="24" width="9.25" style="1" customWidth="1"/>
    <col min="25" max="25" width="9.375" style="1" customWidth="1"/>
    <col min="26" max="29" width="7.5" style="1" customWidth="1"/>
    <col min="30" max="30" width="11.375" style="1" customWidth="1"/>
    <col min="31" max="31" width="11" style="1" customWidth="1"/>
    <col min="32" max="33" width="6.75" style="1" customWidth="1"/>
    <col min="34" max="34" width="22.125" style="1" customWidth="1"/>
    <col min="35" max="35" width="11.75" style="44" customWidth="1"/>
    <col min="36" max="36" width="20.5" style="44" customWidth="1"/>
    <col min="37" max="37" width="16" style="1" customWidth="1"/>
    <col min="38" max="38" width="13" style="44" customWidth="1"/>
    <col min="39" max="39" width="12" style="1" customWidth="1"/>
    <col min="40" max="40" width="12.5" style="1" customWidth="1"/>
    <col min="41" max="41" width="10.625" style="1" customWidth="1"/>
    <col min="42" max="42" width="10.875" style="3" customWidth="1"/>
    <col min="43" max="49" width="8.625" style="1" customWidth="1"/>
    <col min="50" max="52" width="9.125" style="1" customWidth="1"/>
    <col min="53" max="54" width="8.625" style="1" customWidth="1"/>
    <col min="55" max="59" width="9" style="1"/>
    <col min="60" max="60" width="10.625" style="1" customWidth="1"/>
    <col min="61" max="16384" width="9" style="1"/>
  </cols>
  <sheetData>
    <row r="1" spans="1:43" ht="21" x14ac:dyDescent="0.3">
      <c r="K1" s="368" t="s">
        <v>0</v>
      </c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</row>
    <row r="2" spans="1:43" ht="26.25" customHeight="1" x14ac:dyDescent="0.15">
      <c r="A2" s="37" t="s">
        <v>149</v>
      </c>
      <c r="B2" s="4"/>
      <c r="C2" s="4"/>
      <c r="D2" s="4"/>
      <c r="E2" s="4"/>
      <c r="F2" s="4"/>
      <c r="G2" s="4"/>
      <c r="H2" s="45"/>
      <c r="I2" s="45"/>
      <c r="J2" s="45"/>
      <c r="X2" s="37" t="s">
        <v>93</v>
      </c>
      <c r="AD2" s="346" t="s">
        <v>144</v>
      </c>
      <c r="AE2" s="347"/>
    </row>
    <row r="3" spans="1:43" ht="23.25" customHeight="1" x14ac:dyDescent="0.15">
      <c r="A3" s="348" t="s">
        <v>1</v>
      </c>
      <c r="B3" s="348" t="s">
        <v>2</v>
      </c>
      <c r="C3" s="349" t="s">
        <v>55</v>
      </c>
      <c r="D3" s="42" t="s">
        <v>94</v>
      </c>
      <c r="E3" s="350" t="s">
        <v>95</v>
      </c>
      <c r="F3" s="351"/>
      <c r="G3" s="46"/>
      <c r="H3" s="46"/>
      <c r="I3" s="46"/>
      <c r="J3" s="47"/>
      <c r="K3" s="352" t="s">
        <v>3</v>
      </c>
      <c r="L3" s="353"/>
      <c r="M3" s="353"/>
      <c r="N3" s="353"/>
      <c r="O3" s="354"/>
      <c r="P3" s="348" t="s">
        <v>56</v>
      </c>
      <c r="Q3" s="348"/>
      <c r="R3" s="348"/>
      <c r="S3" s="350" t="s">
        <v>92</v>
      </c>
      <c r="T3" s="355"/>
      <c r="U3" s="355"/>
      <c r="V3" s="351"/>
      <c r="W3" s="350" t="s">
        <v>4</v>
      </c>
      <c r="X3" s="355"/>
      <c r="Y3" s="355"/>
      <c r="Z3" s="350" t="s">
        <v>57</v>
      </c>
      <c r="AA3" s="355"/>
      <c r="AB3" s="355"/>
      <c r="AC3" s="351"/>
      <c r="AD3" s="356" t="s">
        <v>5</v>
      </c>
      <c r="AE3" s="348" t="s">
        <v>6</v>
      </c>
    </row>
    <row r="4" spans="1:43" ht="15" customHeight="1" x14ac:dyDescent="0.2">
      <c r="A4" s="348"/>
      <c r="B4" s="348"/>
      <c r="C4" s="349"/>
      <c r="D4" s="357" t="s">
        <v>96</v>
      </c>
      <c r="E4" s="359" t="s">
        <v>97</v>
      </c>
      <c r="F4" s="362" t="s">
        <v>98</v>
      </c>
      <c r="G4" s="363" t="s">
        <v>58</v>
      </c>
      <c r="H4" s="363" t="s">
        <v>7</v>
      </c>
      <c r="I4" s="369" t="s">
        <v>8</v>
      </c>
      <c r="J4" s="370"/>
      <c r="K4" s="356" t="s">
        <v>89</v>
      </c>
      <c r="L4" s="363" t="s">
        <v>59</v>
      </c>
      <c r="M4" s="356" t="s">
        <v>90</v>
      </c>
      <c r="N4" s="374" t="s">
        <v>60</v>
      </c>
      <c r="O4" s="374" t="s">
        <v>61</v>
      </c>
      <c r="P4" s="377" t="s">
        <v>62</v>
      </c>
      <c r="Q4" s="377" t="s">
        <v>63</v>
      </c>
      <c r="R4" s="363" t="s">
        <v>64</v>
      </c>
      <c r="S4" s="363" t="s">
        <v>65</v>
      </c>
      <c r="T4" s="381" t="s">
        <v>66</v>
      </c>
      <c r="U4" s="382"/>
      <c r="V4" s="363" t="s">
        <v>147</v>
      </c>
      <c r="W4" s="366" t="s">
        <v>99</v>
      </c>
      <c r="X4" s="367" t="s">
        <v>9</v>
      </c>
      <c r="Y4" s="367"/>
      <c r="Z4" s="380" t="s">
        <v>10</v>
      </c>
      <c r="AA4" s="380" t="s">
        <v>11</v>
      </c>
      <c r="AB4" s="356" t="s">
        <v>12</v>
      </c>
      <c r="AC4" s="356" t="s">
        <v>13</v>
      </c>
      <c r="AD4" s="356"/>
      <c r="AE4" s="348"/>
    </row>
    <row r="5" spans="1:43" ht="15" customHeight="1" x14ac:dyDescent="0.15">
      <c r="A5" s="348"/>
      <c r="B5" s="348"/>
      <c r="C5" s="349"/>
      <c r="D5" s="358"/>
      <c r="E5" s="360"/>
      <c r="F5" s="360"/>
      <c r="G5" s="364"/>
      <c r="H5" s="364"/>
      <c r="I5" s="371"/>
      <c r="J5" s="372"/>
      <c r="K5" s="356"/>
      <c r="L5" s="365"/>
      <c r="M5" s="356"/>
      <c r="N5" s="375"/>
      <c r="O5" s="375"/>
      <c r="P5" s="378"/>
      <c r="Q5" s="378"/>
      <c r="R5" s="364"/>
      <c r="S5" s="364"/>
      <c r="T5" s="363" t="s">
        <v>67</v>
      </c>
      <c r="U5" s="363" t="s">
        <v>68</v>
      </c>
      <c r="V5" s="364"/>
      <c r="W5" s="366"/>
      <c r="X5" s="348" t="s">
        <v>14</v>
      </c>
      <c r="Y5" s="348" t="s">
        <v>15</v>
      </c>
      <c r="Z5" s="380"/>
      <c r="AA5" s="380"/>
      <c r="AB5" s="356"/>
      <c r="AC5" s="356"/>
      <c r="AD5" s="356"/>
      <c r="AE5" s="348"/>
    </row>
    <row r="6" spans="1:43" ht="15" customHeight="1" x14ac:dyDescent="0.15">
      <c r="A6" s="348"/>
      <c r="B6" s="348"/>
      <c r="C6" s="349"/>
      <c r="D6" s="358"/>
      <c r="E6" s="361"/>
      <c r="F6" s="361"/>
      <c r="G6" s="365"/>
      <c r="H6" s="365"/>
      <c r="I6" s="48" t="s">
        <v>16</v>
      </c>
      <c r="J6" s="49" t="s">
        <v>15</v>
      </c>
      <c r="K6" s="48" t="s">
        <v>17</v>
      </c>
      <c r="L6" s="48" t="s">
        <v>17</v>
      </c>
      <c r="M6" s="48" t="s">
        <v>18</v>
      </c>
      <c r="N6" s="376"/>
      <c r="O6" s="376"/>
      <c r="P6" s="378"/>
      <c r="Q6" s="379"/>
      <c r="R6" s="365"/>
      <c r="S6" s="365"/>
      <c r="T6" s="365"/>
      <c r="U6" s="365"/>
      <c r="V6" s="365"/>
      <c r="W6" s="366"/>
      <c r="X6" s="348"/>
      <c r="Y6" s="348"/>
      <c r="Z6" s="380"/>
      <c r="AA6" s="380"/>
      <c r="AB6" s="356"/>
      <c r="AC6" s="356"/>
      <c r="AD6" s="356"/>
      <c r="AE6" s="348"/>
    </row>
    <row r="7" spans="1:43" ht="15" customHeight="1" x14ac:dyDescent="0.15">
      <c r="A7" s="348"/>
      <c r="B7" s="41" t="s">
        <v>19</v>
      </c>
      <c r="C7" s="349"/>
      <c r="D7" s="6" t="s">
        <v>20</v>
      </c>
      <c r="E7" s="6" t="s">
        <v>20</v>
      </c>
      <c r="F7" s="41" t="s">
        <v>21</v>
      </c>
      <c r="G7" s="41" t="s">
        <v>20</v>
      </c>
      <c r="H7" s="41" t="s">
        <v>69</v>
      </c>
      <c r="I7" s="41" t="s">
        <v>21</v>
      </c>
      <c r="J7" s="41" t="s">
        <v>21</v>
      </c>
      <c r="K7" s="48" t="s">
        <v>22</v>
      </c>
      <c r="L7" s="48" t="s">
        <v>70</v>
      </c>
      <c r="M7" s="48" t="s">
        <v>22</v>
      </c>
      <c r="N7" s="48" t="s">
        <v>71</v>
      </c>
      <c r="O7" s="48" t="s">
        <v>71</v>
      </c>
      <c r="P7" s="48" t="s">
        <v>22</v>
      </c>
      <c r="Q7" s="41" t="s">
        <v>21</v>
      </c>
      <c r="R7" s="41" t="s">
        <v>23</v>
      </c>
      <c r="S7" s="48" t="s">
        <v>22</v>
      </c>
      <c r="T7" s="41" t="s">
        <v>21</v>
      </c>
      <c r="U7" s="41" t="s">
        <v>21</v>
      </c>
      <c r="V7" s="41" t="s">
        <v>23</v>
      </c>
      <c r="W7" s="41" t="s">
        <v>20</v>
      </c>
      <c r="X7" s="41" t="s">
        <v>21</v>
      </c>
      <c r="Y7" s="41" t="s">
        <v>21</v>
      </c>
      <c r="Z7" s="50" t="s">
        <v>24</v>
      </c>
      <c r="AA7" s="51" t="s">
        <v>25</v>
      </c>
      <c r="AB7" s="52" t="s">
        <v>24</v>
      </c>
      <c r="AC7" s="48" t="s">
        <v>54</v>
      </c>
      <c r="AD7" s="41" t="s">
        <v>26</v>
      </c>
      <c r="AE7" s="348"/>
    </row>
    <row r="8" spans="1:43" ht="21.95" customHeight="1" x14ac:dyDescent="0.1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15</v>
      </c>
      <c r="O8" s="7">
        <v>16</v>
      </c>
      <c r="P8" s="7">
        <v>17</v>
      </c>
      <c r="Q8" s="7">
        <v>18</v>
      </c>
      <c r="R8" s="7">
        <v>19</v>
      </c>
      <c r="S8" s="7">
        <v>20</v>
      </c>
      <c r="T8" s="7">
        <v>21</v>
      </c>
      <c r="U8" s="7">
        <v>22</v>
      </c>
      <c r="V8" s="7">
        <v>23</v>
      </c>
      <c r="W8" s="7">
        <v>24</v>
      </c>
      <c r="X8" s="7">
        <v>25</v>
      </c>
      <c r="Y8" s="7">
        <v>26</v>
      </c>
      <c r="Z8" s="7">
        <v>27</v>
      </c>
      <c r="AA8" s="7">
        <v>28</v>
      </c>
      <c r="AB8" s="7">
        <v>29</v>
      </c>
      <c r="AC8" s="7">
        <v>30</v>
      </c>
      <c r="AD8" s="7">
        <v>31</v>
      </c>
      <c r="AE8" s="7">
        <v>32</v>
      </c>
      <c r="AI8" s="53"/>
      <c r="AJ8" s="53"/>
      <c r="AK8" s="43"/>
      <c r="AL8" s="54"/>
      <c r="AM8" s="43"/>
      <c r="AN8" s="43"/>
      <c r="AO8" s="373" t="s">
        <v>72</v>
      </c>
      <c r="AP8" s="373"/>
      <c r="AQ8" s="27"/>
    </row>
    <row r="9" spans="1:43" ht="21.95" hidden="1" customHeight="1" x14ac:dyDescent="0.15">
      <c r="A9" s="383" t="s">
        <v>100</v>
      </c>
      <c r="B9" s="383"/>
      <c r="C9" s="383"/>
      <c r="D9" s="383"/>
      <c r="E9" s="383"/>
      <c r="F9" s="383"/>
      <c r="G9" s="383"/>
      <c r="H9" s="383"/>
      <c r="I9" s="383"/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  <c r="W9" s="383"/>
      <c r="X9" s="383"/>
      <c r="Y9" s="383"/>
      <c r="Z9" s="383"/>
      <c r="AA9" s="383"/>
      <c r="AB9" s="383"/>
      <c r="AC9" s="383"/>
      <c r="AD9" s="383"/>
      <c r="AE9" s="383"/>
      <c r="AI9" s="53" t="s">
        <v>73</v>
      </c>
      <c r="AJ9" s="55" t="s">
        <v>74</v>
      </c>
      <c r="AK9" s="43" t="s">
        <v>75</v>
      </c>
      <c r="AL9" s="56" t="s">
        <v>101</v>
      </c>
      <c r="AM9" s="43" t="s">
        <v>76</v>
      </c>
      <c r="AN9" s="43" t="s">
        <v>77</v>
      </c>
      <c r="AO9" s="43" t="s">
        <v>78</v>
      </c>
      <c r="AP9" s="57" t="s">
        <v>79</v>
      </c>
      <c r="AQ9" s="40"/>
    </row>
    <row r="10" spans="1:43" ht="21.95" hidden="1" customHeight="1" x14ac:dyDescent="0.15">
      <c r="A10" s="58" t="s">
        <v>102</v>
      </c>
      <c r="B10" s="59"/>
      <c r="C10" s="7" t="s">
        <v>103</v>
      </c>
      <c r="D10" s="60">
        <f>0.25*B10</f>
        <v>0</v>
      </c>
      <c r="E10" s="60">
        <f>0.33*B10</f>
        <v>0</v>
      </c>
      <c r="F10" s="60">
        <f>(B10)*13.96</f>
        <v>0</v>
      </c>
      <c r="G10" s="60">
        <v>0</v>
      </c>
      <c r="H10" s="60">
        <v>0</v>
      </c>
      <c r="I10" s="60">
        <f t="shared" ref="I10:I16" si="0">7.6*B10</f>
        <v>0</v>
      </c>
      <c r="J10" s="60">
        <f t="shared" ref="J10:J16" si="1">IF(AI10&lt;=4,B10*(86.5-7.6),B10*(115.7-7.6))</f>
        <v>0</v>
      </c>
      <c r="K10" s="60">
        <f>B10*1.76</f>
        <v>0</v>
      </c>
      <c r="L10" s="60">
        <f>1.85*B10</f>
        <v>0</v>
      </c>
      <c r="M10" s="60">
        <f>0.71*B10*AK10</f>
        <v>0</v>
      </c>
      <c r="N10" s="60">
        <f t="shared" ref="N10:N16" si="2">AM10</f>
        <v>1.83</v>
      </c>
      <c r="O10" s="60">
        <f t="shared" ref="O10:O16" si="3">AK10</f>
        <v>1.0499999999999998</v>
      </c>
      <c r="P10" s="60">
        <f t="shared" ref="P10:P16" si="4">0.253*0.1*B10</f>
        <v>0</v>
      </c>
      <c r="Q10" s="60">
        <f t="shared" ref="Q10:Q16" si="5">2.53*0.395*B10</f>
        <v>0</v>
      </c>
      <c r="R10" s="61">
        <f t="shared" ref="R10:R16" si="6">B10</f>
        <v>0</v>
      </c>
      <c r="S10" s="60">
        <f t="shared" ref="S10:S16" si="7">0.167*B10</f>
        <v>0</v>
      </c>
      <c r="T10" s="60">
        <f t="shared" ref="T10:T16" si="8">5.14*B10</f>
        <v>0</v>
      </c>
      <c r="U10" s="60">
        <f t="shared" ref="U10:U16" si="9">(31.2-5.14)*B10</f>
        <v>0</v>
      </c>
      <c r="V10" s="61">
        <f t="shared" ref="V10:V16" si="10">B10</f>
        <v>0</v>
      </c>
      <c r="W10" s="60">
        <f>IF(AL10=0.14,0.15*B10,IF(AL10=0.16,0.17*B10))</f>
        <v>0</v>
      </c>
      <c r="X10" s="60">
        <v>0</v>
      </c>
      <c r="Y10" s="60">
        <f>26.99*B10</f>
        <v>0</v>
      </c>
      <c r="Z10" s="8">
        <f t="shared" ref="Z10:Z16" si="11">AI10/0.36*B10</f>
        <v>0</v>
      </c>
      <c r="AA10" s="8">
        <f t="shared" ref="AA10:AA16" si="12">B10*1</f>
        <v>0</v>
      </c>
      <c r="AB10" s="8">
        <f t="shared" ref="AB10:AB16" si="13">AA10</f>
        <v>0</v>
      </c>
      <c r="AC10" s="8">
        <f t="shared" ref="AC10:AC16" si="14">8*B10</f>
        <v>0</v>
      </c>
      <c r="AD10" s="9">
        <f t="shared" ref="AD10:AD16" si="15">IF(AK10&gt;=AJ10,((AK10-AJ10)*AO10+AN10*AP10)*B10,((AN10+AK10-AJ10)*AP10)*B10)</f>
        <v>0</v>
      </c>
      <c r="AE10" s="7"/>
      <c r="AH10" s="26"/>
      <c r="AI10" s="55">
        <v>3</v>
      </c>
      <c r="AJ10" s="55">
        <v>0.24</v>
      </c>
      <c r="AK10" s="38">
        <f>IF(AI10+0.02-AM10-0.16&gt;=0.4,AI10+0.02-AM10-0.14,0.4)</f>
        <v>1.0499999999999998</v>
      </c>
      <c r="AL10" s="62">
        <f>IF(AND(AK10&gt;=0.8,AK10&lt;=2),0.14,0.16)</f>
        <v>0.14000000000000001</v>
      </c>
      <c r="AM10" s="38">
        <v>1.83</v>
      </c>
      <c r="AN10" s="38">
        <f t="shared" ref="AN10:AN16" si="16">AI10-AK10-0.6-0.06</f>
        <v>1.29</v>
      </c>
      <c r="AO10" s="38">
        <v>2.64</v>
      </c>
      <c r="AP10" s="38">
        <f>3.14*(0.5+0.24+0.5)^2-3.14*(0.5+0.24)^2</f>
        <v>3.1086000000000005</v>
      </c>
      <c r="AQ10" s="63"/>
    </row>
    <row r="11" spans="1:43" ht="21.95" hidden="1" customHeight="1" x14ac:dyDescent="0.15">
      <c r="A11" s="58" t="s">
        <v>102</v>
      </c>
      <c r="B11" s="59"/>
      <c r="C11" s="7" t="s">
        <v>104</v>
      </c>
      <c r="D11" s="60">
        <f t="shared" ref="D11:D13" si="17">0.25*B11</f>
        <v>0</v>
      </c>
      <c r="E11" s="60">
        <f t="shared" ref="E11:E13" si="18">0.33*B11</f>
        <v>0</v>
      </c>
      <c r="F11" s="60">
        <f t="shared" ref="F11:F13" si="19">(B11)*13.96</f>
        <v>0</v>
      </c>
      <c r="G11" s="60">
        <v>0</v>
      </c>
      <c r="H11" s="60">
        <v>0</v>
      </c>
      <c r="I11" s="60">
        <f t="shared" si="0"/>
        <v>0</v>
      </c>
      <c r="J11" s="60">
        <f t="shared" si="1"/>
        <v>0</v>
      </c>
      <c r="K11" s="60">
        <f>B11*1.76</f>
        <v>0</v>
      </c>
      <c r="L11" s="60">
        <f>2.07*B11</f>
        <v>0</v>
      </c>
      <c r="M11" s="60">
        <f t="shared" ref="M11:M16" si="20">0.71*B11*AK11</f>
        <v>0</v>
      </c>
      <c r="N11" s="60">
        <f t="shared" si="2"/>
        <v>1.83</v>
      </c>
      <c r="O11" s="60">
        <f t="shared" si="3"/>
        <v>1.0599999999999996</v>
      </c>
      <c r="P11" s="60">
        <f t="shared" si="4"/>
        <v>0</v>
      </c>
      <c r="Q11" s="60">
        <f t="shared" si="5"/>
        <v>0</v>
      </c>
      <c r="R11" s="61">
        <f t="shared" si="6"/>
        <v>0</v>
      </c>
      <c r="S11" s="60">
        <f t="shared" si="7"/>
        <v>0</v>
      </c>
      <c r="T11" s="60">
        <f t="shared" si="8"/>
        <v>0</v>
      </c>
      <c r="U11" s="60">
        <f t="shared" si="9"/>
        <v>0</v>
      </c>
      <c r="V11" s="61">
        <f t="shared" si="10"/>
        <v>0</v>
      </c>
      <c r="W11" s="60">
        <f>IF(AL11=0.14,0.15*B11,IF(AL11=0.16,0.17*B11))</f>
        <v>0</v>
      </c>
      <c r="X11" s="60">
        <v>0</v>
      </c>
      <c r="Y11" s="60">
        <f>26.99*B11</f>
        <v>0</v>
      </c>
      <c r="Z11" s="8">
        <f t="shared" si="11"/>
        <v>0</v>
      </c>
      <c r="AA11" s="8">
        <f t="shared" si="12"/>
        <v>0</v>
      </c>
      <c r="AB11" s="8">
        <f t="shared" si="13"/>
        <v>0</v>
      </c>
      <c r="AC11" s="8">
        <f t="shared" si="14"/>
        <v>0</v>
      </c>
      <c r="AD11" s="9">
        <f t="shared" si="15"/>
        <v>0</v>
      </c>
      <c r="AE11" s="7"/>
      <c r="AH11" s="26"/>
      <c r="AI11" s="55">
        <v>3</v>
      </c>
      <c r="AJ11" s="55">
        <v>0.24</v>
      </c>
      <c r="AK11" s="38">
        <f>IF(AI11+0.03-AM11-0.16&gt;=0.4,AI11+0.03-AM11-0.14,0.4)</f>
        <v>1.0599999999999996</v>
      </c>
      <c r="AL11" s="62">
        <f t="shared" ref="AL11:AL13" si="21">IF(AND(AK11&gt;=0.8,AK11&lt;=2),0.14,0.16)</f>
        <v>0.14000000000000001</v>
      </c>
      <c r="AM11" s="38">
        <v>1.83</v>
      </c>
      <c r="AN11" s="38">
        <f t="shared" si="16"/>
        <v>1.2800000000000002</v>
      </c>
      <c r="AO11" s="38">
        <v>2.64</v>
      </c>
      <c r="AP11" s="38">
        <f t="shared" ref="AP11:AP13" si="22">3.14*(0.5+0.24+0.5)^2-3.14*(0.5+0.24)^2</f>
        <v>3.1086000000000005</v>
      </c>
      <c r="AQ11" s="63"/>
    </row>
    <row r="12" spans="1:43" ht="21.95" hidden="1" customHeight="1" x14ac:dyDescent="0.15">
      <c r="A12" s="58" t="s">
        <v>102</v>
      </c>
      <c r="B12" s="59"/>
      <c r="C12" s="7" t="s">
        <v>84</v>
      </c>
      <c r="D12" s="60">
        <f t="shared" si="17"/>
        <v>0</v>
      </c>
      <c r="E12" s="60">
        <f t="shared" si="18"/>
        <v>0</v>
      </c>
      <c r="F12" s="60">
        <f t="shared" si="19"/>
        <v>0</v>
      </c>
      <c r="G12" s="60">
        <v>0</v>
      </c>
      <c r="H12" s="60">
        <v>0</v>
      </c>
      <c r="I12" s="60">
        <f t="shared" si="0"/>
        <v>0</v>
      </c>
      <c r="J12" s="60">
        <f t="shared" si="1"/>
        <v>0</v>
      </c>
      <c r="K12" s="60">
        <f>B12*1.75</f>
        <v>0</v>
      </c>
      <c r="L12" s="60">
        <f>2.3*B12</f>
        <v>0</v>
      </c>
      <c r="M12" s="60">
        <f t="shared" si="20"/>
        <v>0</v>
      </c>
      <c r="N12" s="60">
        <f t="shared" si="2"/>
        <v>1.84</v>
      </c>
      <c r="O12" s="60">
        <f t="shared" si="3"/>
        <v>1.06</v>
      </c>
      <c r="P12" s="60">
        <f t="shared" si="4"/>
        <v>0</v>
      </c>
      <c r="Q12" s="60">
        <f t="shared" si="5"/>
        <v>0</v>
      </c>
      <c r="R12" s="61">
        <f t="shared" si="6"/>
        <v>0</v>
      </c>
      <c r="S12" s="60">
        <f t="shared" si="7"/>
        <v>0</v>
      </c>
      <c r="T12" s="60">
        <f t="shared" si="8"/>
        <v>0</v>
      </c>
      <c r="U12" s="60">
        <f t="shared" si="9"/>
        <v>0</v>
      </c>
      <c r="V12" s="61">
        <f t="shared" si="10"/>
        <v>0</v>
      </c>
      <c r="W12" s="60">
        <f>IF(AL12=0.14,0.15*B12,IF(AL12=0.16,0.17*B12))</f>
        <v>0</v>
      </c>
      <c r="X12" s="60">
        <v>0</v>
      </c>
      <c r="Y12" s="60">
        <f>26.99*B12</f>
        <v>0</v>
      </c>
      <c r="Z12" s="8">
        <f t="shared" si="11"/>
        <v>0</v>
      </c>
      <c r="AA12" s="8">
        <f t="shared" si="12"/>
        <v>0</v>
      </c>
      <c r="AB12" s="8">
        <f t="shared" si="13"/>
        <v>0</v>
      </c>
      <c r="AC12" s="8">
        <f t="shared" si="14"/>
        <v>0</v>
      </c>
      <c r="AD12" s="9">
        <f t="shared" si="15"/>
        <v>0</v>
      </c>
      <c r="AE12" s="7"/>
      <c r="AH12" s="26"/>
      <c r="AI12" s="55">
        <v>3</v>
      </c>
      <c r="AJ12" s="55">
        <v>0.24</v>
      </c>
      <c r="AK12" s="38">
        <f>IF(AI12+0.04-AM12-0.16&gt;=0.4,AI12+0.04-AM12-0.14,0.4)</f>
        <v>1.06</v>
      </c>
      <c r="AL12" s="62">
        <f t="shared" si="21"/>
        <v>0.14000000000000001</v>
      </c>
      <c r="AM12" s="38">
        <v>1.84</v>
      </c>
      <c r="AN12" s="38">
        <f t="shared" si="16"/>
        <v>1.2799999999999998</v>
      </c>
      <c r="AO12" s="38">
        <v>2.64</v>
      </c>
      <c r="AP12" s="38">
        <f t="shared" si="22"/>
        <v>3.1086000000000005</v>
      </c>
      <c r="AQ12" s="63"/>
    </row>
    <row r="13" spans="1:43" ht="21.95" hidden="1" customHeight="1" x14ac:dyDescent="0.15">
      <c r="A13" s="58" t="s">
        <v>102</v>
      </c>
      <c r="B13" s="59"/>
      <c r="C13" s="7" t="s">
        <v>105</v>
      </c>
      <c r="D13" s="60">
        <f t="shared" si="17"/>
        <v>0</v>
      </c>
      <c r="E13" s="60">
        <f t="shared" si="18"/>
        <v>0</v>
      </c>
      <c r="F13" s="60">
        <f t="shared" si="19"/>
        <v>0</v>
      </c>
      <c r="G13" s="60">
        <v>0</v>
      </c>
      <c r="H13" s="60">
        <v>0</v>
      </c>
      <c r="I13" s="60">
        <f t="shared" si="0"/>
        <v>0</v>
      </c>
      <c r="J13" s="60">
        <f t="shared" si="1"/>
        <v>0</v>
      </c>
      <c r="K13" s="60">
        <f>B13*1.73</f>
        <v>0</v>
      </c>
      <c r="L13" s="60">
        <f>2.55*B13</f>
        <v>0</v>
      </c>
      <c r="M13" s="60">
        <f t="shared" si="20"/>
        <v>0</v>
      </c>
      <c r="N13" s="60">
        <f t="shared" si="2"/>
        <v>1.85</v>
      </c>
      <c r="O13" s="60">
        <f t="shared" si="3"/>
        <v>1.0599999999999996</v>
      </c>
      <c r="P13" s="60">
        <f t="shared" si="4"/>
        <v>0</v>
      </c>
      <c r="Q13" s="60">
        <f t="shared" si="5"/>
        <v>0</v>
      </c>
      <c r="R13" s="61">
        <f t="shared" si="6"/>
        <v>0</v>
      </c>
      <c r="S13" s="60">
        <f t="shared" si="7"/>
        <v>0</v>
      </c>
      <c r="T13" s="60">
        <f t="shared" si="8"/>
        <v>0</v>
      </c>
      <c r="U13" s="60">
        <f t="shared" si="9"/>
        <v>0</v>
      </c>
      <c r="V13" s="61">
        <f t="shared" si="10"/>
        <v>0</v>
      </c>
      <c r="W13" s="60">
        <f>IF(AL13=0.14,0.15*B13,IF(AL13=0.16,0.17*B13))</f>
        <v>0</v>
      </c>
      <c r="X13" s="60">
        <v>0</v>
      </c>
      <c r="Y13" s="60">
        <f>26.99*B13</f>
        <v>0</v>
      </c>
      <c r="Z13" s="8">
        <f t="shared" si="11"/>
        <v>0</v>
      </c>
      <c r="AA13" s="8">
        <f t="shared" si="12"/>
        <v>0</v>
      </c>
      <c r="AB13" s="8">
        <f t="shared" si="13"/>
        <v>0</v>
      </c>
      <c r="AC13" s="8">
        <f t="shared" si="14"/>
        <v>0</v>
      </c>
      <c r="AD13" s="9">
        <f t="shared" si="15"/>
        <v>0</v>
      </c>
      <c r="AE13" s="7"/>
      <c r="AH13" s="26"/>
      <c r="AI13" s="55">
        <v>3</v>
      </c>
      <c r="AJ13" s="55">
        <v>0.24</v>
      </c>
      <c r="AK13" s="38">
        <f>IF(AI13+0.05-AM13-0.16&gt;=0.4,AI13+0.05-AM13-0.14,0.4)</f>
        <v>1.0599999999999996</v>
      </c>
      <c r="AL13" s="62">
        <f t="shared" si="21"/>
        <v>0.14000000000000001</v>
      </c>
      <c r="AM13" s="38">
        <v>1.85</v>
      </c>
      <c r="AN13" s="38">
        <f t="shared" si="16"/>
        <v>1.2800000000000002</v>
      </c>
      <c r="AO13" s="38">
        <v>2.64</v>
      </c>
      <c r="AP13" s="38">
        <f t="shared" si="22"/>
        <v>3.1086000000000005</v>
      </c>
      <c r="AQ13" s="63"/>
    </row>
    <row r="14" spans="1:43" ht="21.95" hidden="1" customHeight="1" x14ac:dyDescent="0.15">
      <c r="A14" s="58" t="s">
        <v>102</v>
      </c>
      <c r="B14" s="59"/>
      <c r="C14" s="7" t="s">
        <v>80</v>
      </c>
      <c r="D14" s="60">
        <f>0.32*B14</f>
        <v>0</v>
      </c>
      <c r="E14" s="60">
        <f>0.44*B14</f>
        <v>0</v>
      </c>
      <c r="F14" s="60">
        <f>(B14)*17.83</f>
        <v>0</v>
      </c>
      <c r="G14" s="60">
        <v>0</v>
      </c>
      <c r="H14" s="60">
        <v>0</v>
      </c>
      <c r="I14" s="60">
        <f t="shared" si="0"/>
        <v>0</v>
      </c>
      <c r="J14" s="60">
        <f t="shared" si="1"/>
        <v>0</v>
      </c>
      <c r="K14" s="60">
        <f>B14*2.15</f>
        <v>0</v>
      </c>
      <c r="L14" s="60">
        <f>3.71*B14</f>
        <v>0</v>
      </c>
      <c r="M14" s="60">
        <f t="shared" si="20"/>
        <v>0</v>
      </c>
      <c r="N14" s="60">
        <f t="shared" si="2"/>
        <v>1.86</v>
      </c>
      <c r="O14" s="60">
        <f t="shared" si="3"/>
        <v>1.04</v>
      </c>
      <c r="P14" s="60">
        <f t="shared" si="4"/>
        <v>0</v>
      </c>
      <c r="Q14" s="60">
        <f t="shared" si="5"/>
        <v>0</v>
      </c>
      <c r="R14" s="61">
        <f t="shared" si="6"/>
        <v>0</v>
      </c>
      <c r="S14" s="60">
        <f t="shared" si="7"/>
        <v>0</v>
      </c>
      <c r="T14" s="60">
        <f t="shared" si="8"/>
        <v>0</v>
      </c>
      <c r="U14" s="60">
        <f t="shared" si="9"/>
        <v>0</v>
      </c>
      <c r="V14" s="61">
        <f t="shared" si="10"/>
        <v>0</v>
      </c>
      <c r="W14" s="60">
        <f>IF(AL14=0.16,0.27*B14,IF(AL14=0.18,0.3*B14))</f>
        <v>0</v>
      </c>
      <c r="X14" s="60">
        <v>0</v>
      </c>
      <c r="Y14" s="60">
        <f>39.29*B14</f>
        <v>0</v>
      </c>
      <c r="Z14" s="8">
        <f t="shared" si="11"/>
        <v>0</v>
      </c>
      <c r="AA14" s="8">
        <f t="shared" si="12"/>
        <v>0</v>
      </c>
      <c r="AB14" s="8">
        <f t="shared" si="13"/>
        <v>0</v>
      </c>
      <c r="AC14" s="8">
        <f t="shared" si="14"/>
        <v>0</v>
      </c>
      <c r="AD14" s="9">
        <f t="shared" si="15"/>
        <v>0</v>
      </c>
      <c r="AE14" s="7"/>
      <c r="AH14" s="26"/>
      <c r="AI14" s="55">
        <v>3</v>
      </c>
      <c r="AJ14" s="55">
        <v>0.24</v>
      </c>
      <c r="AK14" s="38">
        <f>IF(AI14+0.06-AM14-0.18&gt;=0.4,AI14+0.06-AM14-0.16,0.4)</f>
        <v>1.04</v>
      </c>
      <c r="AL14" s="62">
        <f>IF(AND(AK14&gt;=0.8,AK14&lt;=2),0.16,0.18)</f>
        <v>0.16</v>
      </c>
      <c r="AM14" s="38">
        <v>1.86</v>
      </c>
      <c r="AN14" s="38">
        <f t="shared" si="16"/>
        <v>1.2999999999999998</v>
      </c>
      <c r="AO14" s="38">
        <v>2.64</v>
      </c>
      <c r="AP14" s="38">
        <f>3.14*(0.625+0.24+0.5)^2-3.14*(0.625+0.24)^2</f>
        <v>3.5010999999999997</v>
      </c>
      <c r="AQ14" s="63"/>
    </row>
    <row r="15" spans="1:43" ht="21.95" hidden="1" customHeight="1" x14ac:dyDescent="0.15">
      <c r="A15" s="58" t="s">
        <v>102</v>
      </c>
      <c r="B15" s="59"/>
      <c r="C15" s="7" t="s">
        <v>106</v>
      </c>
      <c r="D15" s="60">
        <f>0.41*B15</f>
        <v>0</v>
      </c>
      <c r="E15" s="60">
        <f>0.75*B15</f>
        <v>0</v>
      </c>
      <c r="F15" s="60">
        <f>(B15)*32.22</f>
        <v>0</v>
      </c>
      <c r="G15" s="60">
        <v>0</v>
      </c>
      <c r="H15" s="60">
        <v>0</v>
      </c>
      <c r="I15" s="60">
        <f t="shared" si="0"/>
        <v>0</v>
      </c>
      <c r="J15" s="60">
        <f t="shared" si="1"/>
        <v>0</v>
      </c>
      <c r="K15" s="60">
        <f>B15*2.56</f>
        <v>0</v>
      </c>
      <c r="L15" s="60">
        <f>5.46*B15</f>
        <v>0</v>
      </c>
      <c r="M15" s="60">
        <f t="shared" si="20"/>
        <v>0</v>
      </c>
      <c r="N15" s="60">
        <f t="shared" si="2"/>
        <v>1.89</v>
      </c>
      <c r="O15" s="60">
        <f t="shared" si="3"/>
        <v>1.0100000000000002</v>
      </c>
      <c r="P15" s="60">
        <f t="shared" si="4"/>
        <v>0</v>
      </c>
      <c r="Q15" s="60">
        <f t="shared" si="5"/>
        <v>0</v>
      </c>
      <c r="R15" s="61">
        <f t="shared" si="6"/>
        <v>0</v>
      </c>
      <c r="S15" s="60">
        <f t="shared" si="7"/>
        <v>0</v>
      </c>
      <c r="T15" s="60">
        <f t="shared" si="8"/>
        <v>0</v>
      </c>
      <c r="U15" s="60">
        <f t="shared" si="9"/>
        <v>0</v>
      </c>
      <c r="V15" s="61">
        <f t="shared" si="10"/>
        <v>0</v>
      </c>
      <c r="W15" s="60">
        <f>IF(AL15=0.18,0.42*B15,IF(AL15=0.2,0.47*B15))</f>
        <v>0</v>
      </c>
      <c r="X15" s="60">
        <v>0</v>
      </c>
      <c r="Y15" s="60">
        <f>IF(AL15=0.18,46.73*B15,IF(AL15=0.2,61.013*B15))</f>
        <v>0</v>
      </c>
      <c r="Z15" s="8">
        <f t="shared" si="11"/>
        <v>0</v>
      </c>
      <c r="AA15" s="8">
        <f t="shared" si="12"/>
        <v>0</v>
      </c>
      <c r="AB15" s="8">
        <f t="shared" si="13"/>
        <v>0</v>
      </c>
      <c r="AC15" s="8">
        <f t="shared" si="14"/>
        <v>0</v>
      </c>
      <c r="AD15" s="9">
        <f t="shared" si="15"/>
        <v>0</v>
      </c>
      <c r="AE15" s="7"/>
      <c r="AH15" s="26"/>
      <c r="AI15" s="55">
        <v>3</v>
      </c>
      <c r="AJ15" s="55">
        <v>0.24</v>
      </c>
      <c r="AK15" s="38">
        <f>IF(AI15+0.08-AM15-0.2&gt;=0.4,AI15+0.08-AM15-0.18,0.4)</f>
        <v>1.0100000000000002</v>
      </c>
      <c r="AL15" s="62">
        <f>IF(AND(AK15&gt;=0.8,AK15&lt;=2),0.18,0.2)</f>
        <v>0.18</v>
      </c>
      <c r="AM15" s="38">
        <v>1.89</v>
      </c>
      <c r="AN15" s="38">
        <f t="shared" si="16"/>
        <v>1.3299999999999996</v>
      </c>
      <c r="AO15" s="38">
        <v>2.64</v>
      </c>
      <c r="AP15" s="38">
        <f>3.14*(0.75+0.24+0.5)^2-3.14*(0.75+0.24)^2</f>
        <v>3.8936000000000002</v>
      </c>
      <c r="AQ15" s="63"/>
    </row>
    <row r="16" spans="1:43" ht="21.95" hidden="1" customHeight="1" x14ac:dyDescent="0.15">
      <c r="A16" s="58" t="s">
        <v>102</v>
      </c>
      <c r="B16" s="59"/>
      <c r="C16" s="7" t="s">
        <v>107</v>
      </c>
      <c r="D16" s="60">
        <f>0.41*B16</f>
        <v>0</v>
      </c>
      <c r="E16" s="60">
        <f>0.75*B16</f>
        <v>0</v>
      </c>
      <c r="F16" s="60">
        <f>(B16)*32.22</f>
        <v>0</v>
      </c>
      <c r="G16" s="60">
        <v>0</v>
      </c>
      <c r="H16" s="60">
        <v>0</v>
      </c>
      <c r="I16" s="60">
        <f t="shared" si="0"/>
        <v>0</v>
      </c>
      <c r="J16" s="60">
        <f t="shared" si="1"/>
        <v>0</v>
      </c>
      <c r="K16" s="60">
        <f>B16*2.41</f>
        <v>0</v>
      </c>
      <c r="L16" s="60">
        <f>6.3*B16</f>
        <v>0</v>
      </c>
      <c r="M16" s="60">
        <f t="shared" si="20"/>
        <v>0</v>
      </c>
      <c r="N16" s="60">
        <f t="shared" si="2"/>
        <v>1.9</v>
      </c>
      <c r="O16" s="60">
        <f t="shared" si="3"/>
        <v>1.0200000000000002</v>
      </c>
      <c r="P16" s="60">
        <f t="shared" si="4"/>
        <v>0</v>
      </c>
      <c r="Q16" s="60">
        <f t="shared" si="5"/>
        <v>0</v>
      </c>
      <c r="R16" s="61">
        <f t="shared" si="6"/>
        <v>0</v>
      </c>
      <c r="S16" s="60">
        <f t="shared" si="7"/>
        <v>0</v>
      </c>
      <c r="T16" s="60">
        <f t="shared" si="8"/>
        <v>0</v>
      </c>
      <c r="U16" s="60">
        <f t="shared" si="9"/>
        <v>0</v>
      </c>
      <c r="V16" s="61">
        <f t="shared" si="10"/>
        <v>0</v>
      </c>
      <c r="W16" s="60">
        <f>IF(AL16=0.18,0.42*B16,IF(AL16=0.2,0.47*B16))</f>
        <v>0</v>
      </c>
      <c r="X16" s="60">
        <v>0</v>
      </c>
      <c r="Y16" s="60">
        <f>IF(AL16=0.18,46.73*B16,IF(AL16=0.2,61.013*B16))</f>
        <v>0</v>
      </c>
      <c r="Z16" s="8">
        <f t="shared" si="11"/>
        <v>0</v>
      </c>
      <c r="AA16" s="8">
        <f t="shared" si="12"/>
        <v>0</v>
      </c>
      <c r="AB16" s="8">
        <f t="shared" si="13"/>
        <v>0</v>
      </c>
      <c r="AC16" s="8">
        <f t="shared" si="14"/>
        <v>0</v>
      </c>
      <c r="AD16" s="9">
        <f t="shared" si="15"/>
        <v>0</v>
      </c>
      <c r="AE16" s="7"/>
      <c r="AH16" s="26"/>
      <c r="AI16" s="55">
        <v>3</v>
      </c>
      <c r="AJ16" s="55">
        <v>0.24</v>
      </c>
      <c r="AK16" s="38">
        <f>IF(AI16+0.1-AM16-0.2&gt;=0.4,AI16+0.1-AM16-0.18,0.4)</f>
        <v>1.0200000000000002</v>
      </c>
      <c r="AL16" s="62">
        <f>IF(AND(AK16&gt;=0.8,AK16&lt;=2),0.18,0.2)</f>
        <v>0.18</v>
      </c>
      <c r="AM16" s="38">
        <v>1.9</v>
      </c>
      <c r="AN16" s="38">
        <f t="shared" si="16"/>
        <v>1.3199999999999998</v>
      </c>
      <c r="AO16" s="38">
        <v>2.64</v>
      </c>
      <c r="AP16" s="38">
        <f>3.14*(0.75+0.24+0.5)^2-3.14*(0.75+0.24)^2</f>
        <v>3.8936000000000002</v>
      </c>
      <c r="AQ16" s="63"/>
    </row>
    <row r="17" spans="1:43" ht="21.95" hidden="1" customHeight="1" x14ac:dyDescent="0.15">
      <c r="A17" s="58" t="s">
        <v>27</v>
      </c>
      <c r="B17" s="59">
        <f>SUM(B10:B16)</f>
        <v>0</v>
      </c>
      <c r="C17" s="7" t="s">
        <v>82</v>
      </c>
      <c r="D17" s="60">
        <f t="shared" ref="D17:AD17" si="23">SUM(D10:D16)</f>
        <v>0</v>
      </c>
      <c r="E17" s="60">
        <f t="shared" si="23"/>
        <v>0</v>
      </c>
      <c r="F17" s="60">
        <f t="shared" si="23"/>
        <v>0</v>
      </c>
      <c r="G17" s="60">
        <f t="shared" si="23"/>
        <v>0</v>
      </c>
      <c r="H17" s="60">
        <f t="shared" si="23"/>
        <v>0</v>
      </c>
      <c r="I17" s="60">
        <f t="shared" si="23"/>
        <v>0</v>
      </c>
      <c r="J17" s="60">
        <f t="shared" si="23"/>
        <v>0</v>
      </c>
      <c r="K17" s="60">
        <f t="shared" si="23"/>
        <v>0</v>
      </c>
      <c r="L17" s="60">
        <f t="shared" si="23"/>
        <v>0</v>
      </c>
      <c r="M17" s="60">
        <f t="shared" si="23"/>
        <v>0</v>
      </c>
      <c r="N17" s="60">
        <f t="shared" si="23"/>
        <v>13</v>
      </c>
      <c r="O17" s="60">
        <f t="shared" si="23"/>
        <v>7.3</v>
      </c>
      <c r="P17" s="60">
        <f t="shared" si="23"/>
        <v>0</v>
      </c>
      <c r="Q17" s="60">
        <f t="shared" si="23"/>
        <v>0</v>
      </c>
      <c r="R17" s="61">
        <f t="shared" si="23"/>
        <v>0</v>
      </c>
      <c r="S17" s="60">
        <f t="shared" si="23"/>
        <v>0</v>
      </c>
      <c r="T17" s="60">
        <f t="shared" si="23"/>
        <v>0</v>
      </c>
      <c r="U17" s="60">
        <f t="shared" si="23"/>
        <v>0</v>
      </c>
      <c r="V17" s="61">
        <f t="shared" si="23"/>
        <v>0</v>
      </c>
      <c r="W17" s="60">
        <f t="shared" si="23"/>
        <v>0</v>
      </c>
      <c r="X17" s="60">
        <f t="shared" si="23"/>
        <v>0</v>
      </c>
      <c r="Y17" s="60">
        <f t="shared" si="23"/>
        <v>0</v>
      </c>
      <c r="Z17" s="8">
        <f t="shared" si="23"/>
        <v>0</v>
      </c>
      <c r="AA17" s="8">
        <f t="shared" si="23"/>
        <v>0</v>
      </c>
      <c r="AB17" s="8">
        <f t="shared" si="23"/>
        <v>0</v>
      </c>
      <c r="AC17" s="8">
        <f t="shared" si="23"/>
        <v>0</v>
      </c>
      <c r="AD17" s="9">
        <f t="shared" si="23"/>
        <v>0</v>
      </c>
      <c r="AE17" s="7"/>
      <c r="AI17" s="55"/>
      <c r="AJ17" s="55"/>
      <c r="AK17" s="38"/>
      <c r="AL17" s="62"/>
      <c r="AM17" s="38"/>
      <c r="AN17" s="38"/>
      <c r="AO17" s="38"/>
      <c r="AP17" s="38"/>
      <c r="AQ17" s="63"/>
    </row>
    <row r="18" spans="1:43" ht="21.95" customHeight="1" x14ac:dyDescent="0.15">
      <c r="A18" s="383" t="s">
        <v>109</v>
      </c>
      <c r="B18" s="383"/>
      <c r="C18" s="383"/>
      <c r="D18" s="383"/>
      <c r="E18" s="383"/>
      <c r="F18" s="383"/>
      <c r="G18" s="383"/>
      <c r="H18" s="383"/>
      <c r="I18" s="383"/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  <c r="W18" s="383"/>
      <c r="X18" s="383"/>
      <c r="Y18" s="383"/>
      <c r="Z18" s="383"/>
      <c r="AA18" s="383"/>
      <c r="AB18" s="383"/>
      <c r="AC18" s="383"/>
      <c r="AD18" s="383"/>
      <c r="AE18" s="383"/>
      <c r="AI18" s="53" t="s">
        <v>73</v>
      </c>
      <c r="AJ18" s="55" t="s">
        <v>74</v>
      </c>
      <c r="AK18" s="43" t="s">
        <v>75</v>
      </c>
      <c r="AL18" s="56" t="s">
        <v>101</v>
      </c>
      <c r="AM18" s="43" t="s">
        <v>76</v>
      </c>
      <c r="AN18" s="43" t="s">
        <v>77</v>
      </c>
      <c r="AO18" s="43" t="s">
        <v>78</v>
      </c>
      <c r="AP18" s="57" t="s">
        <v>79</v>
      </c>
      <c r="AQ18" s="40"/>
    </row>
    <row r="19" spans="1:43" ht="21.95" hidden="1" customHeight="1" x14ac:dyDescent="0.15">
      <c r="A19" s="58" t="s">
        <v>102</v>
      </c>
      <c r="B19" s="59"/>
      <c r="C19" s="7" t="s">
        <v>103</v>
      </c>
      <c r="D19" s="60">
        <f>0.25*B19</f>
        <v>0</v>
      </c>
      <c r="E19" s="60">
        <f>0.33*B19</f>
        <v>0</v>
      </c>
      <c r="F19" s="60">
        <f>(B19)*13.96</f>
        <v>0</v>
      </c>
      <c r="G19" s="60">
        <v>0</v>
      </c>
      <c r="H19" s="60">
        <v>0</v>
      </c>
      <c r="I19" s="60">
        <f t="shared" ref="I19:I25" si="24">7.6*B19</f>
        <v>0</v>
      </c>
      <c r="J19" s="60">
        <f t="shared" ref="J19:J25" si="25">IF(AI19&lt;=4,B19*(86.5-7.6),B19*(115.7-7.6))</f>
        <v>0</v>
      </c>
      <c r="K19" s="60">
        <f>B19*1.76</f>
        <v>0</v>
      </c>
      <c r="L19" s="60">
        <f>10.35*B19</f>
        <v>0</v>
      </c>
      <c r="M19" s="60">
        <f t="shared" ref="M19:M25" si="26">0.71*B19*AK19</f>
        <v>0</v>
      </c>
      <c r="N19" s="60">
        <f t="shared" ref="N19:N26" si="27">AM19</f>
        <v>1.83</v>
      </c>
      <c r="O19" s="60">
        <f t="shared" ref="O19:O26" si="28">AK19</f>
        <v>1.0499999999999998</v>
      </c>
      <c r="P19" s="60">
        <f t="shared" ref="P19:P26" si="29">0.253*0.1*B19</f>
        <v>0</v>
      </c>
      <c r="Q19" s="60">
        <f t="shared" ref="Q19:Q26" si="30">2.53*0.395*B19</f>
        <v>0</v>
      </c>
      <c r="R19" s="61">
        <f t="shared" ref="R19:R26" si="31">B19</f>
        <v>0</v>
      </c>
      <c r="S19" s="60">
        <f t="shared" ref="S19:S26" si="32">0.167*B19</f>
        <v>0</v>
      </c>
      <c r="T19" s="60">
        <f t="shared" ref="T19:T26" si="33">5.14*B19</f>
        <v>0</v>
      </c>
      <c r="U19" s="60">
        <f t="shared" ref="U19:U26" si="34">(31.2-5.14)*B19</f>
        <v>0</v>
      </c>
      <c r="V19" s="61">
        <f t="shared" ref="V19:V26" si="35">B19</f>
        <v>0</v>
      </c>
      <c r="W19" s="60">
        <f>IF(AL19=0.14,0.15*B19,IF(AL19=0.16,0.17*B19))</f>
        <v>0</v>
      </c>
      <c r="X19" s="60">
        <v>0</v>
      </c>
      <c r="Y19" s="60">
        <f>26.99*B19</f>
        <v>0</v>
      </c>
      <c r="Z19" s="8">
        <f t="shared" ref="Z19:Z26" si="36">AI19/0.36*B19</f>
        <v>0</v>
      </c>
      <c r="AA19" s="8">
        <f t="shared" ref="AA19:AA26" si="37">B19*1</f>
        <v>0</v>
      </c>
      <c r="AB19" s="8">
        <f t="shared" ref="AB19:AB26" si="38">AA19</f>
        <v>0</v>
      </c>
      <c r="AC19" s="8">
        <f t="shared" ref="AC19:AC26" si="39">8*B19</f>
        <v>0</v>
      </c>
      <c r="AD19" s="9">
        <f t="shared" ref="AD19:AD26" si="40">IF(AK19&gt;=AJ19,((AK19-AJ19)*AO19+AN19*AP19)*B19,((AN19+AK19-AJ19)*AP19)*B19)</f>
        <v>0</v>
      </c>
      <c r="AE19" s="7"/>
      <c r="AH19" s="26"/>
      <c r="AI19" s="55">
        <v>3</v>
      </c>
      <c r="AJ19" s="55">
        <v>0.24</v>
      </c>
      <c r="AK19" s="38">
        <f>IF(AI19+0.02-AM19-0.16&gt;=0.4,AI19+0.02-AM19-0.14,0.4)</f>
        <v>1.0499999999999998</v>
      </c>
      <c r="AL19" s="62">
        <f>IF(AND(AK19&gt;=0.8,AK19&lt;=2),0.14,0.16)</f>
        <v>0.14000000000000001</v>
      </c>
      <c r="AM19" s="38">
        <v>1.83</v>
      </c>
      <c r="AN19" s="38">
        <f t="shared" ref="AN19:AN25" si="41">AI19-AK19-0.6-0.06</f>
        <v>1.29</v>
      </c>
      <c r="AO19" s="38">
        <v>2.64</v>
      </c>
      <c r="AP19" s="38">
        <f>3.14*(0.5+0.24+0.5)^2-3.14*(0.5+0.24)^2</f>
        <v>3.1086000000000005</v>
      </c>
      <c r="AQ19" s="63"/>
    </row>
    <row r="20" spans="1:43" ht="21.95" hidden="1" customHeight="1" x14ac:dyDescent="0.15">
      <c r="A20" s="58" t="s">
        <v>102</v>
      </c>
      <c r="B20" s="59"/>
      <c r="C20" s="7" t="s">
        <v>104</v>
      </c>
      <c r="D20" s="60">
        <f t="shared" ref="D20:D22" si="42">0.25*B20</f>
        <v>0</v>
      </c>
      <c r="E20" s="60">
        <f t="shared" ref="E20:E22" si="43">0.33*B20</f>
        <v>0</v>
      </c>
      <c r="F20" s="60">
        <f t="shared" ref="F20:F22" si="44">(B20)*13.96</f>
        <v>0</v>
      </c>
      <c r="G20" s="60">
        <v>0</v>
      </c>
      <c r="H20" s="60">
        <v>0</v>
      </c>
      <c r="I20" s="60">
        <f t="shared" si="24"/>
        <v>0</v>
      </c>
      <c r="J20" s="60">
        <f t="shared" si="25"/>
        <v>0</v>
      </c>
      <c r="K20" s="60">
        <f>B20*1.76</f>
        <v>0</v>
      </c>
      <c r="L20" s="60">
        <f>10.58*B20</f>
        <v>0</v>
      </c>
      <c r="M20" s="60">
        <f t="shared" si="26"/>
        <v>0</v>
      </c>
      <c r="N20" s="60">
        <f t="shared" si="27"/>
        <v>1.83</v>
      </c>
      <c r="O20" s="60">
        <f t="shared" si="28"/>
        <v>1.0599999999999996</v>
      </c>
      <c r="P20" s="60">
        <f t="shared" si="29"/>
        <v>0</v>
      </c>
      <c r="Q20" s="60">
        <f t="shared" si="30"/>
        <v>0</v>
      </c>
      <c r="R20" s="61">
        <f t="shared" si="31"/>
        <v>0</v>
      </c>
      <c r="S20" s="60">
        <f t="shared" si="32"/>
        <v>0</v>
      </c>
      <c r="T20" s="60">
        <f t="shared" si="33"/>
        <v>0</v>
      </c>
      <c r="U20" s="60">
        <f t="shared" si="34"/>
        <v>0</v>
      </c>
      <c r="V20" s="61">
        <f t="shared" si="35"/>
        <v>0</v>
      </c>
      <c r="W20" s="60">
        <f>IF(AL20=0.14,0.15*B20,IF(AL20=0.16,0.17*B20))</f>
        <v>0</v>
      </c>
      <c r="X20" s="60">
        <v>0</v>
      </c>
      <c r="Y20" s="60">
        <f>26.99*B20</f>
        <v>0</v>
      </c>
      <c r="Z20" s="8">
        <f t="shared" si="36"/>
        <v>0</v>
      </c>
      <c r="AA20" s="8">
        <f t="shared" si="37"/>
        <v>0</v>
      </c>
      <c r="AB20" s="8">
        <f t="shared" si="38"/>
        <v>0</v>
      </c>
      <c r="AC20" s="8">
        <f t="shared" si="39"/>
        <v>0</v>
      </c>
      <c r="AD20" s="9">
        <f t="shared" si="40"/>
        <v>0</v>
      </c>
      <c r="AE20" s="7"/>
      <c r="AH20" s="26"/>
      <c r="AI20" s="55">
        <v>3</v>
      </c>
      <c r="AJ20" s="55">
        <v>0.24</v>
      </c>
      <c r="AK20" s="38">
        <f>IF(AI20+0.03-AM20-0.16&gt;=0.4,AI20+0.03-AM20-0.14,0.4)</f>
        <v>1.0599999999999996</v>
      </c>
      <c r="AL20" s="62">
        <f t="shared" ref="AL20:AL22" si="45">IF(AND(AK20&gt;=0.8,AK20&lt;=2),0.14,0.16)</f>
        <v>0.14000000000000001</v>
      </c>
      <c r="AM20" s="38">
        <v>1.83</v>
      </c>
      <c r="AN20" s="38">
        <f t="shared" si="41"/>
        <v>1.2800000000000002</v>
      </c>
      <c r="AO20" s="38">
        <v>2.64</v>
      </c>
      <c r="AP20" s="38">
        <f t="shared" ref="AP20:AP22" si="46">3.14*(0.5+0.24+0.5)^2-3.14*(0.5+0.24)^2</f>
        <v>3.1086000000000005</v>
      </c>
      <c r="AQ20" s="63"/>
    </row>
    <row r="21" spans="1:43" ht="21.95" hidden="1" customHeight="1" x14ac:dyDescent="0.15">
      <c r="A21" s="58" t="s">
        <v>102</v>
      </c>
      <c r="B21" s="59"/>
      <c r="C21" s="7" t="s">
        <v>84</v>
      </c>
      <c r="D21" s="60">
        <f t="shared" si="42"/>
        <v>0</v>
      </c>
      <c r="E21" s="60">
        <f t="shared" si="43"/>
        <v>0</v>
      </c>
      <c r="F21" s="60">
        <f t="shared" si="44"/>
        <v>0</v>
      </c>
      <c r="G21" s="60">
        <v>0</v>
      </c>
      <c r="H21" s="60">
        <v>0</v>
      </c>
      <c r="I21" s="60">
        <f t="shared" si="24"/>
        <v>0</v>
      </c>
      <c r="J21" s="60">
        <f t="shared" si="25"/>
        <v>0</v>
      </c>
      <c r="K21" s="60">
        <f>B21*1.75</f>
        <v>0</v>
      </c>
      <c r="L21" s="60">
        <f>10.86*B21</f>
        <v>0</v>
      </c>
      <c r="M21" s="60">
        <f t="shared" si="26"/>
        <v>0</v>
      </c>
      <c r="N21" s="60">
        <f t="shared" si="27"/>
        <v>1.84</v>
      </c>
      <c r="O21" s="60">
        <f t="shared" si="28"/>
        <v>1.06</v>
      </c>
      <c r="P21" s="60">
        <f t="shared" si="29"/>
        <v>0</v>
      </c>
      <c r="Q21" s="60">
        <f t="shared" si="30"/>
        <v>0</v>
      </c>
      <c r="R21" s="61">
        <f t="shared" si="31"/>
        <v>0</v>
      </c>
      <c r="S21" s="60">
        <f t="shared" si="32"/>
        <v>0</v>
      </c>
      <c r="T21" s="60">
        <f t="shared" si="33"/>
        <v>0</v>
      </c>
      <c r="U21" s="60">
        <f t="shared" si="34"/>
        <v>0</v>
      </c>
      <c r="V21" s="61">
        <f t="shared" si="35"/>
        <v>0</v>
      </c>
      <c r="W21" s="60">
        <f>IF(AL21=0.14,0.15*B21,IF(AL21=0.16,0.17*B21))</f>
        <v>0</v>
      </c>
      <c r="X21" s="60">
        <v>0</v>
      </c>
      <c r="Y21" s="60">
        <f>26.99*B21</f>
        <v>0</v>
      </c>
      <c r="Z21" s="8">
        <f t="shared" si="36"/>
        <v>0</v>
      </c>
      <c r="AA21" s="8">
        <f t="shared" si="37"/>
        <v>0</v>
      </c>
      <c r="AB21" s="8">
        <f t="shared" si="38"/>
        <v>0</v>
      </c>
      <c r="AC21" s="8">
        <f t="shared" si="39"/>
        <v>0</v>
      </c>
      <c r="AD21" s="9">
        <f t="shared" si="40"/>
        <v>0</v>
      </c>
      <c r="AE21" s="7"/>
      <c r="AH21" s="26"/>
      <c r="AI21" s="55">
        <v>3</v>
      </c>
      <c r="AJ21" s="55">
        <v>0.24</v>
      </c>
      <c r="AK21" s="38">
        <f>IF(AI21+0.04-AM21-0.16&gt;=0.4,AI21+0.04-AM21-0.14,0.4)</f>
        <v>1.06</v>
      </c>
      <c r="AL21" s="62">
        <f t="shared" si="45"/>
        <v>0.14000000000000001</v>
      </c>
      <c r="AM21" s="38">
        <v>1.84</v>
      </c>
      <c r="AN21" s="38">
        <f t="shared" si="41"/>
        <v>1.2799999999999998</v>
      </c>
      <c r="AO21" s="38">
        <v>2.64</v>
      </c>
      <c r="AP21" s="38">
        <f t="shared" si="46"/>
        <v>3.1086000000000005</v>
      </c>
      <c r="AQ21" s="63"/>
    </row>
    <row r="22" spans="1:43" ht="21.95" hidden="1" customHeight="1" x14ac:dyDescent="0.15">
      <c r="A22" s="58" t="s">
        <v>102</v>
      </c>
      <c r="B22" s="59"/>
      <c r="C22" s="7" t="s">
        <v>105</v>
      </c>
      <c r="D22" s="60">
        <f t="shared" si="42"/>
        <v>0</v>
      </c>
      <c r="E22" s="60">
        <f t="shared" si="43"/>
        <v>0</v>
      </c>
      <c r="F22" s="60">
        <f t="shared" si="44"/>
        <v>0</v>
      </c>
      <c r="G22" s="60">
        <v>0</v>
      </c>
      <c r="H22" s="60">
        <v>0</v>
      </c>
      <c r="I22" s="60">
        <f t="shared" si="24"/>
        <v>0</v>
      </c>
      <c r="J22" s="60">
        <f t="shared" si="25"/>
        <v>0</v>
      </c>
      <c r="K22" s="60">
        <f>B22*1.73</f>
        <v>0</v>
      </c>
      <c r="L22" s="60">
        <f>11.15*B22</f>
        <v>0</v>
      </c>
      <c r="M22" s="60">
        <f t="shared" si="26"/>
        <v>0</v>
      </c>
      <c r="N22" s="60">
        <f t="shared" si="27"/>
        <v>1.85</v>
      </c>
      <c r="O22" s="60">
        <f t="shared" si="28"/>
        <v>1.0599999999999996</v>
      </c>
      <c r="P22" s="60">
        <f t="shared" si="29"/>
        <v>0</v>
      </c>
      <c r="Q22" s="60">
        <f t="shared" si="30"/>
        <v>0</v>
      </c>
      <c r="R22" s="61">
        <f t="shared" si="31"/>
        <v>0</v>
      </c>
      <c r="S22" s="60">
        <f t="shared" si="32"/>
        <v>0</v>
      </c>
      <c r="T22" s="60">
        <f t="shared" si="33"/>
        <v>0</v>
      </c>
      <c r="U22" s="60">
        <f t="shared" si="34"/>
        <v>0</v>
      </c>
      <c r="V22" s="61">
        <f t="shared" si="35"/>
        <v>0</v>
      </c>
      <c r="W22" s="60">
        <f>IF(AL22=0.14,0.15*B22,IF(AL22=0.16,0.17*B22))</f>
        <v>0</v>
      </c>
      <c r="X22" s="60">
        <v>0</v>
      </c>
      <c r="Y22" s="60">
        <f>26.99*B22</f>
        <v>0</v>
      </c>
      <c r="Z22" s="8">
        <f t="shared" si="36"/>
        <v>0</v>
      </c>
      <c r="AA22" s="8">
        <f t="shared" si="37"/>
        <v>0</v>
      </c>
      <c r="AB22" s="8">
        <f t="shared" si="38"/>
        <v>0</v>
      </c>
      <c r="AC22" s="8">
        <f t="shared" si="39"/>
        <v>0</v>
      </c>
      <c r="AD22" s="9">
        <f t="shared" si="40"/>
        <v>0</v>
      </c>
      <c r="AE22" s="7"/>
      <c r="AH22" s="26"/>
      <c r="AI22" s="55">
        <v>3</v>
      </c>
      <c r="AJ22" s="55">
        <v>0.24</v>
      </c>
      <c r="AK22" s="38">
        <f>IF(AI22+0.05-AM22-0.16&gt;=0.4,AI22+0.05-AM22-0.14,0.4)</f>
        <v>1.0599999999999996</v>
      </c>
      <c r="AL22" s="62">
        <f t="shared" si="45"/>
        <v>0.14000000000000001</v>
      </c>
      <c r="AM22" s="38">
        <v>1.85</v>
      </c>
      <c r="AN22" s="38">
        <f t="shared" si="41"/>
        <v>1.2800000000000002</v>
      </c>
      <c r="AO22" s="38">
        <v>2.64</v>
      </c>
      <c r="AP22" s="38">
        <f t="shared" si="46"/>
        <v>3.1086000000000005</v>
      </c>
      <c r="AQ22" s="63"/>
    </row>
    <row r="23" spans="1:43" ht="21.95" customHeight="1" x14ac:dyDescent="0.15">
      <c r="A23" s="58" t="s">
        <v>102</v>
      </c>
      <c r="B23" s="59"/>
      <c r="C23" s="7" t="s">
        <v>80</v>
      </c>
      <c r="D23" s="60">
        <f>0.32*B23</f>
        <v>0</v>
      </c>
      <c r="E23" s="60">
        <f>0.44*B23</f>
        <v>0</v>
      </c>
      <c r="F23" s="60">
        <f>(B23)*17.83</f>
        <v>0</v>
      </c>
      <c r="G23" s="60">
        <v>0</v>
      </c>
      <c r="H23" s="60">
        <v>0</v>
      </c>
      <c r="I23" s="60">
        <f t="shared" si="24"/>
        <v>0</v>
      </c>
      <c r="J23" s="60">
        <f t="shared" si="25"/>
        <v>0</v>
      </c>
      <c r="K23" s="60">
        <f>B23*2.15</f>
        <v>0</v>
      </c>
      <c r="L23" s="60">
        <f>13.82*B23</f>
        <v>0</v>
      </c>
      <c r="M23" s="60">
        <f t="shared" si="26"/>
        <v>0</v>
      </c>
      <c r="N23" s="60">
        <f t="shared" si="27"/>
        <v>1.86</v>
      </c>
      <c r="O23" s="60">
        <f t="shared" si="28"/>
        <v>0.83999999999999975</v>
      </c>
      <c r="P23" s="60">
        <f t="shared" si="29"/>
        <v>0</v>
      </c>
      <c r="Q23" s="60">
        <f t="shared" si="30"/>
        <v>0</v>
      </c>
      <c r="R23" s="61">
        <f t="shared" si="31"/>
        <v>0</v>
      </c>
      <c r="S23" s="60">
        <f>0.1*B23</f>
        <v>0</v>
      </c>
      <c r="T23" s="60">
        <f>4.83*B23</f>
        <v>0</v>
      </c>
      <c r="U23" s="60">
        <f>(21.38-4.83)*B23</f>
        <v>0</v>
      </c>
      <c r="V23" s="61">
        <f t="shared" si="35"/>
        <v>0</v>
      </c>
      <c r="W23" s="60">
        <f>IF(AL23=0.16,0.27*B23,IF(AL23=0.18,0.3*B23))</f>
        <v>0</v>
      </c>
      <c r="X23" s="60">
        <v>0</v>
      </c>
      <c r="Y23" s="60">
        <f>39.29*B23</f>
        <v>0</v>
      </c>
      <c r="Z23" s="8">
        <f t="shared" si="36"/>
        <v>0</v>
      </c>
      <c r="AA23" s="8">
        <f t="shared" si="37"/>
        <v>0</v>
      </c>
      <c r="AB23" s="8">
        <f t="shared" si="38"/>
        <v>0</v>
      </c>
      <c r="AC23" s="8">
        <f t="shared" si="39"/>
        <v>0</v>
      </c>
      <c r="AD23" s="9">
        <f t="shared" si="40"/>
        <v>0</v>
      </c>
      <c r="AE23" s="7"/>
      <c r="AH23" s="26"/>
      <c r="AI23" s="55">
        <v>2.8</v>
      </c>
      <c r="AJ23" s="55">
        <v>0.24</v>
      </c>
      <c r="AK23" s="38">
        <f>IF(AI23+0.06-AM23-0.18&gt;=0.4,AI23+0.06-AM23-0.16,0.4)</f>
        <v>0.83999999999999975</v>
      </c>
      <c r="AL23" s="62">
        <f>IF(AND(AK23&gt;=0.8,AK23&lt;=2),0.16,0.18)</f>
        <v>0.16</v>
      </c>
      <c r="AM23" s="38">
        <v>1.86</v>
      </c>
      <c r="AN23" s="38">
        <f t="shared" si="41"/>
        <v>1.2999999999999998</v>
      </c>
      <c r="AO23" s="38">
        <v>2.64</v>
      </c>
      <c r="AP23" s="38">
        <f>3.14*(0.625+0.24+0.5)^2-3.14*(0.625+0.24)^2</f>
        <v>3.5010999999999997</v>
      </c>
      <c r="AQ23" s="63"/>
    </row>
    <row r="24" spans="1:43" ht="21.95" hidden="1" customHeight="1" x14ac:dyDescent="0.15">
      <c r="A24" s="58" t="s">
        <v>102</v>
      </c>
      <c r="B24" s="59"/>
      <c r="C24" s="7" t="s">
        <v>106</v>
      </c>
      <c r="D24" s="60">
        <f>0.41*B24</f>
        <v>0</v>
      </c>
      <c r="E24" s="60">
        <f>0.75*B24</f>
        <v>0</v>
      </c>
      <c r="F24" s="60">
        <f>(B24)*32.22</f>
        <v>0</v>
      </c>
      <c r="G24" s="60">
        <v>0</v>
      </c>
      <c r="H24" s="60">
        <v>0</v>
      </c>
      <c r="I24" s="60">
        <f t="shared" si="24"/>
        <v>0</v>
      </c>
      <c r="J24" s="60">
        <f t="shared" si="25"/>
        <v>0</v>
      </c>
      <c r="K24" s="60">
        <f>B24*2.56</f>
        <v>0</v>
      </c>
      <c r="L24" s="60">
        <f>17.16*B24</f>
        <v>0</v>
      </c>
      <c r="M24" s="60">
        <f t="shared" si="26"/>
        <v>0</v>
      </c>
      <c r="N24" s="60">
        <f t="shared" si="27"/>
        <v>1.89</v>
      </c>
      <c r="O24" s="60">
        <f t="shared" si="28"/>
        <v>1.0100000000000002</v>
      </c>
      <c r="P24" s="60">
        <f t="shared" si="29"/>
        <v>0</v>
      </c>
      <c r="Q24" s="60">
        <f t="shared" si="30"/>
        <v>0</v>
      </c>
      <c r="R24" s="61">
        <f t="shared" si="31"/>
        <v>0</v>
      </c>
      <c r="S24" s="60">
        <f t="shared" si="32"/>
        <v>0</v>
      </c>
      <c r="T24" s="60">
        <f t="shared" si="33"/>
        <v>0</v>
      </c>
      <c r="U24" s="60">
        <f t="shared" si="34"/>
        <v>0</v>
      </c>
      <c r="V24" s="61">
        <f t="shared" si="35"/>
        <v>0</v>
      </c>
      <c r="W24" s="60">
        <f>IF(AL24=0.18,0.42*B24,IF(AL24=0.2,0.47*B24))</f>
        <v>0</v>
      </c>
      <c r="X24" s="60">
        <v>0</v>
      </c>
      <c r="Y24" s="60">
        <f>IF(AL24=0.18,46.73*B24,IF(AL24=0.2,61.013*B24))</f>
        <v>0</v>
      </c>
      <c r="Z24" s="8">
        <f t="shared" si="36"/>
        <v>0</v>
      </c>
      <c r="AA24" s="8">
        <f t="shared" si="37"/>
        <v>0</v>
      </c>
      <c r="AB24" s="8">
        <f t="shared" si="38"/>
        <v>0</v>
      </c>
      <c r="AC24" s="8">
        <f t="shared" si="39"/>
        <v>0</v>
      </c>
      <c r="AD24" s="9">
        <f t="shared" si="40"/>
        <v>0</v>
      </c>
      <c r="AE24" s="7"/>
      <c r="AH24" s="26"/>
      <c r="AI24" s="55">
        <v>3</v>
      </c>
      <c r="AJ24" s="55">
        <v>0.24</v>
      </c>
      <c r="AK24" s="38">
        <f>IF(AI24+0.08-AM24-0.2&gt;=0.4,AI24+0.08-AM24-0.18,0.4)</f>
        <v>1.0100000000000002</v>
      </c>
      <c r="AL24" s="62">
        <f>IF(AND(AK24&gt;=0.8,AK24&lt;=2),0.18,0.2)</f>
        <v>0.18</v>
      </c>
      <c r="AM24" s="38">
        <v>1.89</v>
      </c>
      <c r="AN24" s="38">
        <f t="shared" si="41"/>
        <v>1.3299999999999996</v>
      </c>
      <c r="AO24" s="38">
        <v>2.64</v>
      </c>
      <c r="AP24" s="38">
        <f>3.14*(0.75+0.24+0.5)^2-3.14*(0.75+0.24)^2</f>
        <v>3.8936000000000002</v>
      </c>
      <c r="AQ24" s="63"/>
    </row>
    <row r="25" spans="1:43" ht="21.95" hidden="1" customHeight="1" x14ac:dyDescent="0.15">
      <c r="A25" s="58" t="s">
        <v>102</v>
      </c>
      <c r="B25" s="59"/>
      <c r="C25" s="7" t="s">
        <v>107</v>
      </c>
      <c r="D25" s="60">
        <f>0.41*B25</f>
        <v>0</v>
      </c>
      <c r="E25" s="60">
        <f>0.75*B25</f>
        <v>0</v>
      </c>
      <c r="F25" s="60">
        <f>(B25)*32.22</f>
        <v>0</v>
      </c>
      <c r="G25" s="60">
        <v>0</v>
      </c>
      <c r="H25" s="60">
        <v>0</v>
      </c>
      <c r="I25" s="60">
        <f t="shared" si="24"/>
        <v>0</v>
      </c>
      <c r="J25" s="60">
        <f t="shared" si="25"/>
        <v>0</v>
      </c>
      <c r="K25" s="60">
        <f>B25*2.41</f>
        <v>0</v>
      </c>
      <c r="L25" s="60">
        <f>18.12*B25</f>
        <v>0</v>
      </c>
      <c r="M25" s="60">
        <f t="shared" si="26"/>
        <v>0</v>
      </c>
      <c r="N25" s="60">
        <f t="shared" si="27"/>
        <v>1.9</v>
      </c>
      <c r="O25" s="60">
        <f t="shared" si="28"/>
        <v>1.0200000000000002</v>
      </c>
      <c r="P25" s="60">
        <f t="shared" si="29"/>
        <v>0</v>
      </c>
      <c r="Q25" s="60">
        <f t="shared" si="30"/>
        <v>0</v>
      </c>
      <c r="R25" s="61">
        <f t="shared" si="31"/>
        <v>0</v>
      </c>
      <c r="S25" s="60">
        <f t="shared" si="32"/>
        <v>0</v>
      </c>
      <c r="T25" s="60">
        <f t="shared" si="33"/>
        <v>0</v>
      </c>
      <c r="U25" s="60">
        <f t="shared" si="34"/>
        <v>0</v>
      </c>
      <c r="V25" s="61">
        <f t="shared" si="35"/>
        <v>0</v>
      </c>
      <c r="W25" s="60">
        <f>IF(AL25=0.18,0.42*B25,IF(AL25=0.2,0.47*B25))</f>
        <v>0</v>
      </c>
      <c r="X25" s="60">
        <v>0</v>
      </c>
      <c r="Y25" s="60">
        <f>IF(AL25=0.18,46.73*B25,IF(AL25=0.2,61.013*B25))</f>
        <v>0</v>
      </c>
      <c r="Z25" s="8">
        <f t="shared" si="36"/>
        <v>0</v>
      </c>
      <c r="AA25" s="8">
        <f t="shared" si="37"/>
        <v>0</v>
      </c>
      <c r="AB25" s="8">
        <f t="shared" si="38"/>
        <v>0</v>
      </c>
      <c r="AC25" s="8">
        <f t="shared" si="39"/>
        <v>0</v>
      </c>
      <c r="AD25" s="9">
        <f t="shared" si="40"/>
        <v>0</v>
      </c>
      <c r="AE25" s="7"/>
      <c r="AH25" s="26"/>
      <c r="AI25" s="55">
        <v>3</v>
      </c>
      <c r="AJ25" s="55">
        <v>0.24</v>
      </c>
      <c r="AK25" s="38">
        <f>IF(AI25+0.1-AM25-0.2&gt;=0.4,AI25+0.1-AM25-0.18,0.4)</f>
        <v>1.0200000000000002</v>
      </c>
      <c r="AL25" s="62">
        <f>IF(AND(AK25&gt;=0.8,AK25&lt;=2),0.18,0.2)</f>
        <v>0.18</v>
      </c>
      <c r="AM25" s="38">
        <v>1.9</v>
      </c>
      <c r="AN25" s="38">
        <f t="shared" si="41"/>
        <v>1.3199999999999998</v>
      </c>
      <c r="AO25" s="38">
        <v>2.64</v>
      </c>
      <c r="AP25" s="38">
        <f>3.14*(0.75+0.24+0.5)^2-3.14*(0.75+0.24)^2</f>
        <v>3.8936000000000002</v>
      </c>
      <c r="AQ25" s="63"/>
    </row>
    <row r="26" spans="1:43" ht="21" hidden="1" customHeight="1" x14ac:dyDescent="0.15">
      <c r="A26" s="58" t="s">
        <v>108</v>
      </c>
      <c r="B26" s="59"/>
      <c r="C26" s="7" t="s">
        <v>81</v>
      </c>
      <c r="D26" s="60"/>
      <c r="E26" s="60"/>
      <c r="F26" s="60">
        <f t="shared" ref="F26" si="47">B26*2.11</f>
        <v>0</v>
      </c>
      <c r="G26" s="60">
        <v>0</v>
      </c>
      <c r="H26" s="60">
        <v>0</v>
      </c>
      <c r="I26" s="60">
        <f t="shared" ref="I26" si="48">B26*15</f>
        <v>0</v>
      </c>
      <c r="J26" s="60">
        <f>IF(AI26&lt;=4,B26*(213.9-15),B26*(274.7-15))</f>
        <v>0</v>
      </c>
      <c r="K26" s="60">
        <f t="shared" ref="K26" si="49">B26*4.49</f>
        <v>0</v>
      </c>
      <c r="L26" s="60">
        <f t="shared" ref="L26" si="50">9.48*B26</f>
        <v>0</v>
      </c>
      <c r="M26" s="60">
        <f>0.4*B26*AK26</f>
        <v>0</v>
      </c>
      <c r="N26" s="60">
        <f t="shared" si="27"/>
        <v>2.56</v>
      </c>
      <c r="O26" s="60">
        <f t="shared" si="28"/>
        <v>0.4</v>
      </c>
      <c r="P26" s="60">
        <f t="shared" si="29"/>
        <v>0</v>
      </c>
      <c r="Q26" s="60">
        <f t="shared" si="30"/>
        <v>0</v>
      </c>
      <c r="R26" s="61">
        <f t="shared" si="31"/>
        <v>0</v>
      </c>
      <c r="S26" s="60">
        <f t="shared" si="32"/>
        <v>0</v>
      </c>
      <c r="T26" s="60">
        <f t="shared" si="33"/>
        <v>0</v>
      </c>
      <c r="U26" s="60">
        <f t="shared" si="34"/>
        <v>0</v>
      </c>
      <c r="V26" s="61">
        <f t="shared" si="35"/>
        <v>0</v>
      </c>
      <c r="W26" s="60">
        <f>0.57*B26</f>
        <v>0</v>
      </c>
      <c r="X26" s="60">
        <v>0</v>
      </c>
      <c r="Y26" s="60">
        <f>50.74*B26</f>
        <v>0</v>
      </c>
      <c r="Z26" s="8">
        <f t="shared" si="36"/>
        <v>0</v>
      </c>
      <c r="AA26" s="8">
        <f t="shared" si="37"/>
        <v>0</v>
      </c>
      <c r="AB26" s="8">
        <f t="shared" si="38"/>
        <v>0</v>
      </c>
      <c r="AC26" s="8">
        <f t="shared" si="39"/>
        <v>0</v>
      </c>
      <c r="AD26" s="9">
        <f t="shared" si="40"/>
        <v>0</v>
      </c>
      <c r="AE26" s="7"/>
      <c r="AH26" s="26"/>
      <c r="AI26" s="55">
        <v>3</v>
      </c>
      <c r="AJ26" s="55">
        <v>0.24</v>
      </c>
      <c r="AK26" s="38">
        <f>IF(AI27-AM26-0.14&gt;=0.4,AI27-AM26-0.14,0.4)</f>
        <v>0.4</v>
      </c>
      <c r="AL26" s="62"/>
      <c r="AM26" s="38">
        <f t="shared" ref="AM26" si="51">2+0.2+0.36</f>
        <v>2.56</v>
      </c>
      <c r="AN26" s="38">
        <f t="shared" ref="AN26" si="52">0.36+0.14</f>
        <v>0.5</v>
      </c>
      <c r="AO26" s="38">
        <v>2.4</v>
      </c>
      <c r="AP26" s="38">
        <f t="shared" ref="AP26" si="53">(4.14*2.58-3.14*1.58)</f>
        <v>5.719999999999998</v>
      </c>
      <c r="AQ26" s="63"/>
    </row>
    <row r="27" spans="1:43" ht="21.95" customHeight="1" x14ac:dyDescent="0.15">
      <c r="A27" s="58" t="s">
        <v>27</v>
      </c>
      <c r="B27" s="59"/>
      <c r="C27" s="7" t="s">
        <v>82</v>
      </c>
      <c r="D27" s="60">
        <f t="shared" ref="D27:AD27" si="54">SUM(D19:D26)</f>
        <v>0</v>
      </c>
      <c r="E27" s="60">
        <f t="shared" si="54"/>
        <v>0</v>
      </c>
      <c r="F27" s="60">
        <f t="shared" si="54"/>
        <v>0</v>
      </c>
      <c r="G27" s="60">
        <f t="shared" si="54"/>
        <v>0</v>
      </c>
      <c r="H27" s="60">
        <f t="shared" si="54"/>
        <v>0</v>
      </c>
      <c r="I27" s="60">
        <f t="shared" si="54"/>
        <v>0</v>
      </c>
      <c r="J27" s="60">
        <f t="shared" si="54"/>
        <v>0</v>
      </c>
      <c r="K27" s="60">
        <f t="shared" si="54"/>
        <v>0</v>
      </c>
      <c r="L27" s="60">
        <f t="shared" si="54"/>
        <v>0</v>
      </c>
      <c r="M27" s="60">
        <f t="shared" si="54"/>
        <v>0</v>
      </c>
      <c r="N27" s="60">
        <f t="shared" si="54"/>
        <v>15.56</v>
      </c>
      <c r="O27" s="60">
        <f t="shared" si="54"/>
        <v>7.4999999999999991</v>
      </c>
      <c r="P27" s="60">
        <f t="shared" si="54"/>
        <v>0</v>
      </c>
      <c r="Q27" s="60">
        <f t="shared" si="54"/>
        <v>0</v>
      </c>
      <c r="R27" s="61">
        <f t="shared" si="54"/>
        <v>0</v>
      </c>
      <c r="S27" s="60">
        <f t="shared" si="54"/>
        <v>0</v>
      </c>
      <c r="T27" s="60">
        <f t="shared" si="54"/>
        <v>0</v>
      </c>
      <c r="U27" s="60">
        <f t="shared" si="54"/>
        <v>0</v>
      </c>
      <c r="V27" s="61">
        <f t="shared" si="54"/>
        <v>0</v>
      </c>
      <c r="W27" s="60">
        <f t="shared" si="54"/>
        <v>0</v>
      </c>
      <c r="X27" s="60">
        <f t="shared" si="54"/>
        <v>0</v>
      </c>
      <c r="Y27" s="60">
        <f t="shared" si="54"/>
        <v>0</v>
      </c>
      <c r="Z27" s="8">
        <f t="shared" si="54"/>
        <v>0</v>
      </c>
      <c r="AA27" s="8">
        <f t="shared" si="54"/>
        <v>0</v>
      </c>
      <c r="AB27" s="8">
        <f t="shared" si="54"/>
        <v>0</v>
      </c>
      <c r="AC27" s="8">
        <f t="shared" si="54"/>
        <v>0</v>
      </c>
      <c r="AD27" s="9">
        <f t="shared" si="54"/>
        <v>0</v>
      </c>
      <c r="AE27" s="7"/>
      <c r="AI27" s="55"/>
      <c r="AJ27" s="55"/>
      <c r="AK27" s="38"/>
      <c r="AL27" s="62"/>
      <c r="AM27" s="38"/>
      <c r="AN27" s="38"/>
      <c r="AO27" s="38"/>
      <c r="AP27" s="38"/>
      <c r="AQ27" s="63"/>
    </row>
    <row r="28" spans="1:43" ht="21.95" hidden="1" customHeight="1" x14ac:dyDescent="0.15">
      <c r="A28" s="383" t="s">
        <v>110</v>
      </c>
      <c r="B28" s="383"/>
      <c r="C28" s="383"/>
      <c r="D28" s="383"/>
      <c r="E28" s="383"/>
      <c r="F28" s="383"/>
      <c r="G28" s="383"/>
      <c r="H28" s="383"/>
      <c r="I28" s="383"/>
      <c r="J28" s="383"/>
      <c r="K28" s="383"/>
      <c r="L28" s="383"/>
      <c r="M28" s="383"/>
      <c r="N28" s="383"/>
      <c r="O28" s="383"/>
      <c r="P28" s="383"/>
      <c r="Q28" s="383"/>
      <c r="R28" s="383"/>
      <c r="S28" s="383"/>
      <c r="T28" s="383"/>
      <c r="U28" s="383"/>
      <c r="V28" s="383"/>
      <c r="W28" s="383"/>
      <c r="X28" s="383"/>
      <c r="Y28" s="383"/>
      <c r="Z28" s="383"/>
      <c r="AA28" s="383"/>
      <c r="AB28" s="383"/>
      <c r="AC28" s="383"/>
      <c r="AD28" s="383"/>
      <c r="AE28" s="383"/>
      <c r="AI28" s="53" t="s">
        <v>73</v>
      </c>
      <c r="AJ28" s="55" t="s">
        <v>74</v>
      </c>
      <c r="AK28" s="43" t="s">
        <v>75</v>
      </c>
      <c r="AL28" s="56" t="s">
        <v>101</v>
      </c>
      <c r="AM28" s="43" t="s">
        <v>76</v>
      </c>
      <c r="AN28" s="43" t="s">
        <v>77</v>
      </c>
      <c r="AO28" s="43" t="s">
        <v>78</v>
      </c>
      <c r="AP28" s="57" t="s">
        <v>79</v>
      </c>
      <c r="AQ28" s="40"/>
    </row>
    <row r="29" spans="1:43" ht="21.95" hidden="1" customHeight="1" x14ac:dyDescent="0.15">
      <c r="A29" s="58" t="s">
        <v>108</v>
      </c>
      <c r="B29" s="59"/>
      <c r="C29" s="7" t="s">
        <v>111</v>
      </c>
      <c r="D29" s="60">
        <f>0.37*B29</f>
        <v>0</v>
      </c>
      <c r="E29" s="60">
        <f>0.67*B29</f>
        <v>0</v>
      </c>
      <c r="F29" s="60">
        <f>(B29)*29.48</f>
        <v>0</v>
      </c>
      <c r="G29" s="60">
        <v>0</v>
      </c>
      <c r="H29" s="60">
        <v>0</v>
      </c>
      <c r="I29" s="60">
        <f>7.6*B29</f>
        <v>0</v>
      </c>
      <c r="J29" s="60">
        <f>IF(AI29&lt;=4,B29*(90.4-7.6),B29*(120.4-7.6))</f>
        <v>0</v>
      </c>
      <c r="K29" s="60">
        <f>B29*2.41</f>
        <v>0</v>
      </c>
      <c r="L29" s="60">
        <f>4.08*B29</f>
        <v>0</v>
      </c>
      <c r="M29" s="60">
        <f t="shared" ref="M29:M38" si="55">0.71*B29*AK29</f>
        <v>0</v>
      </c>
      <c r="N29" s="60">
        <f>AM29</f>
        <v>1.88</v>
      </c>
      <c r="O29" s="60">
        <f>AK29</f>
        <v>2.06</v>
      </c>
      <c r="P29" s="60">
        <f t="shared" ref="P29:P38" si="56">0.253*0.1*B29</f>
        <v>0</v>
      </c>
      <c r="Q29" s="60">
        <f t="shared" ref="Q29:Q38" si="57">2.53*0.395*B29</f>
        <v>0</v>
      </c>
      <c r="R29" s="61">
        <f t="shared" ref="R29:R38" si="58">B29</f>
        <v>0</v>
      </c>
      <c r="S29" s="60">
        <f t="shared" ref="S29:S38" si="59">0.167*B29</f>
        <v>0</v>
      </c>
      <c r="T29" s="60">
        <f t="shared" ref="T29:T38" si="60">5.14*B29</f>
        <v>0</v>
      </c>
      <c r="U29" s="60">
        <f t="shared" ref="U29:U38" si="61">(31.2-5.14)*B29</f>
        <v>0</v>
      </c>
      <c r="V29" s="61">
        <f t="shared" ref="V29:V38" si="62">B29</f>
        <v>0</v>
      </c>
      <c r="W29" s="60">
        <f>IF(AND(AK29&gt;=0.8,AK29&lt;=2),0.27*B29,0.3*B29)</f>
        <v>0</v>
      </c>
      <c r="X29" s="60">
        <v>0</v>
      </c>
      <c r="Y29" s="60">
        <f>34.91*B29</f>
        <v>0</v>
      </c>
      <c r="Z29" s="8">
        <f t="shared" ref="Z29:Z38" si="63">AI29/0.36*B29</f>
        <v>0</v>
      </c>
      <c r="AA29" s="8">
        <f t="shared" ref="AA29:AA38" si="64">B29*1</f>
        <v>0</v>
      </c>
      <c r="AB29" s="8">
        <f t="shared" ref="AB29:AB38" si="65">AA29</f>
        <v>0</v>
      </c>
      <c r="AC29" s="8">
        <f t="shared" ref="AC29:AC38" si="66">8*B29</f>
        <v>0</v>
      </c>
      <c r="AD29" s="9">
        <f t="shared" ref="AD29:AD38" si="67">IF(AK29&gt;=AJ29,((AK29-AJ29)*AO29+AN29*AP29)*B29,((AN29+AK29-AJ29)*AP29)*B29)</f>
        <v>0</v>
      </c>
      <c r="AE29" s="7"/>
      <c r="AH29" s="26"/>
      <c r="AI29" s="55">
        <v>4</v>
      </c>
      <c r="AJ29" s="55">
        <v>0.24</v>
      </c>
      <c r="AK29" s="38">
        <f>IF(AI29+0.08-AM29-0.16&gt;=0.4,AI29+0.08-AM29-0.14,0.4)</f>
        <v>2.06</v>
      </c>
      <c r="AL29" s="62">
        <f>IF(AND(AK29&gt;=0.8,AK29&lt;=2),0.14,0.16)</f>
        <v>0.16</v>
      </c>
      <c r="AM29" s="38">
        <v>1.88</v>
      </c>
      <c r="AN29" s="38">
        <f>AI29-AK29-0.8-0.08</f>
        <v>1.0599999999999998</v>
      </c>
      <c r="AO29" s="38">
        <v>2.64</v>
      </c>
      <c r="AP29" s="38">
        <f>(2.68*2.58-1.68*1.58)</f>
        <v>4.2600000000000007</v>
      </c>
      <c r="AQ29" s="63"/>
    </row>
    <row r="30" spans="1:43" ht="21.95" hidden="1" customHeight="1" x14ac:dyDescent="0.15">
      <c r="A30" s="58" t="s">
        <v>108</v>
      </c>
      <c r="B30" s="59"/>
      <c r="C30" s="7" t="s">
        <v>112</v>
      </c>
      <c r="D30" s="60">
        <f>0.41*B30</f>
        <v>0</v>
      </c>
      <c r="E30" s="60">
        <f>0.74*B30</f>
        <v>0</v>
      </c>
      <c r="F30" s="60">
        <f>B30*32.59</f>
        <v>0</v>
      </c>
      <c r="G30" s="60">
        <v>0</v>
      </c>
      <c r="H30" s="60">
        <v>0</v>
      </c>
      <c r="I30" s="60">
        <f>B30*7.6</f>
        <v>0</v>
      </c>
      <c r="J30" s="60">
        <f>IF(AI30&lt;=4,B30*(98.1-7.6),B30*(131.6-7.6))</f>
        <v>0</v>
      </c>
      <c r="K30" s="60">
        <f>B30*2.51</f>
        <v>0</v>
      </c>
      <c r="L30" s="60">
        <f>4.88*B30</f>
        <v>0</v>
      </c>
      <c r="M30" s="60">
        <f t="shared" si="55"/>
        <v>0</v>
      </c>
      <c r="N30" s="60">
        <f t="shared" ref="N30:N38" si="68">AM30</f>
        <v>1.9</v>
      </c>
      <c r="O30" s="60">
        <f t="shared" ref="O30:O38" si="69">AK30</f>
        <v>2.0599999999999996</v>
      </c>
      <c r="P30" s="60">
        <f t="shared" si="56"/>
        <v>0</v>
      </c>
      <c r="Q30" s="60">
        <f t="shared" si="57"/>
        <v>0</v>
      </c>
      <c r="R30" s="61">
        <f t="shared" si="58"/>
        <v>0</v>
      </c>
      <c r="S30" s="60">
        <f t="shared" si="59"/>
        <v>0</v>
      </c>
      <c r="T30" s="60">
        <f t="shared" si="60"/>
        <v>0</v>
      </c>
      <c r="U30" s="60">
        <f t="shared" si="61"/>
        <v>0</v>
      </c>
      <c r="V30" s="61">
        <f t="shared" si="62"/>
        <v>0</v>
      </c>
      <c r="W30" s="60">
        <f>IF(AND(AK30&gt;=0.8,AK30&lt;=2),0.31*B30,0.35*B30)</f>
        <v>0</v>
      </c>
      <c r="X30" s="60">
        <v>0</v>
      </c>
      <c r="Y30" s="60">
        <f>36.08*B30</f>
        <v>0</v>
      </c>
      <c r="Z30" s="8">
        <f t="shared" si="63"/>
        <v>0</v>
      </c>
      <c r="AA30" s="8">
        <f t="shared" si="64"/>
        <v>0</v>
      </c>
      <c r="AB30" s="8">
        <f t="shared" si="65"/>
        <v>0</v>
      </c>
      <c r="AC30" s="8">
        <f t="shared" si="66"/>
        <v>0</v>
      </c>
      <c r="AD30" s="9">
        <f t="shared" si="67"/>
        <v>0</v>
      </c>
      <c r="AE30" s="7"/>
      <c r="AH30" s="26"/>
      <c r="AI30" s="55">
        <v>4</v>
      </c>
      <c r="AJ30" s="55">
        <v>0.24</v>
      </c>
      <c r="AK30" s="38">
        <f>IF(AI30+0.1-AM30-0.16&gt;=0.4,AI30+0.1-AM30-0.14,0.4)</f>
        <v>2.0599999999999996</v>
      </c>
      <c r="AL30" s="62">
        <f>IF(AND(AK30&gt;=0.8,AK30&lt;=2),0.14,0.16)</f>
        <v>0.16</v>
      </c>
      <c r="AM30" s="38">
        <v>1.9</v>
      </c>
      <c r="AN30" s="38">
        <f>AI30-AK30-1-0.1</f>
        <v>0.84000000000000041</v>
      </c>
      <c r="AO30" s="38">
        <v>2.64</v>
      </c>
      <c r="AP30" s="38">
        <f>(2.88*2.58-1.88*1.58)</f>
        <v>4.4599999999999991</v>
      </c>
      <c r="AQ30" s="63"/>
    </row>
    <row r="31" spans="1:43" ht="21.75" hidden="1" customHeight="1" x14ac:dyDescent="0.15">
      <c r="A31" s="58" t="s">
        <v>108</v>
      </c>
      <c r="B31" s="59"/>
      <c r="C31" s="7" t="s">
        <v>113</v>
      </c>
      <c r="D31" s="60">
        <f>0.47*B31</f>
        <v>0</v>
      </c>
      <c r="E31" s="60">
        <f>0.85*B31</f>
        <v>0</v>
      </c>
      <c r="F31" s="60">
        <f>B31*36.5</f>
        <v>0</v>
      </c>
      <c r="G31" s="60">
        <v>0</v>
      </c>
      <c r="H31" s="60">
        <v>0</v>
      </c>
      <c r="I31" s="60">
        <f>B31*9.1</f>
        <v>0</v>
      </c>
      <c r="J31" s="60">
        <f>IF(AI31&lt;=4,B31*(107.2-9.1),B31*(142.8-9.1))</f>
        <v>0</v>
      </c>
      <c r="K31" s="60">
        <f>B31*2.74</f>
        <v>0</v>
      </c>
      <c r="L31" s="60">
        <f>5.97*B31</f>
        <v>0</v>
      </c>
      <c r="M31" s="60">
        <f t="shared" si="55"/>
        <v>0</v>
      </c>
      <c r="N31" s="60">
        <f t="shared" si="68"/>
        <v>1.92</v>
      </c>
      <c r="O31" s="60">
        <f t="shared" si="69"/>
        <v>2.04</v>
      </c>
      <c r="P31" s="60">
        <f t="shared" si="56"/>
        <v>0</v>
      </c>
      <c r="Q31" s="60">
        <f t="shared" si="57"/>
        <v>0</v>
      </c>
      <c r="R31" s="61">
        <f t="shared" si="58"/>
        <v>0</v>
      </c>
      <c r="S31" s="60">
        <f t="shared" si="59"/>
        <v>0</v>
      </c>
      <c r="T31" s="60">
        <f t="shared" si="60"/>
        <v>0</v>
      </c>
      <c r="U31" s="60">
        <f t="shared" si="61"/>
        <v>0</v>
      </c>
      <c r="V31" s="61">
        <f t="shared" si="62"/>
        <v>0</v>
      </c>
      <c r="W31" s="60">
        <f>0.42*B31</f>
        <v>0</v>
      </c>
      <c r="X31" s="60">
        <v>0</v>
      </c>
      <c r="Y31" s="60">
        <f>IF(AND(AK31&gt;=0.4,AK31&lt;=2),45.59*B31,53.25*B31)</f>
        <v>0</v>
      </c>
      <c r="Z31" s="8">
        <f t="shared" si="63"/>
        <v>0</v>
      </c>
      <c r="AA31" s="8">
        <f t="shared" si="64"/>
        <v>0</v>
      </c>
      <c r="AB31" s="8">
        <f t="shared" si="65"/>
        <v>0</v>
      </c>
      <c r="AC31" s="8">
        <f t="shared" si="66"/>
        <v>0</v>
      </c>
      <c r="AD31" s="9">
        <f t="shared" si="67"/>
        <v>0</v>
      </c>
      <c r="AE31" s="7"/>
      <c r="AH31" s="26"/>
      <c r="AI31" s="55">
        <v>4</v>
      </c>
      <c r="AJ31" s="55">
        <v>0.24</v>
      </c>
      <c r="AK31" s="38">
        <f>IF(AI31+0.12-AM31-0.16&gt;=0.4,AI31+0.12-AM31-0.16,0.4)</f>
        <v>2.04</v>
      </c>
      <c r="AL31" s="62">
        <v>0.16</v>
      </c>
      <c r="AM31" s="38">
        <v>1.92</v>
      </c>
      <c r="AN31" s="38">
        <f>AI31-AK31-1.2-0.12</f>
        <v>0.64</v>
      </c>
      <c r="AO31" s="38">
        <v>2.64</v>
      </c>
      <c r="AP31" s="38">
        <f>(3.18*2.58-2.18*1.58)</f>
        <v>4.7600000000000016</v>
      </c>
      <c r="AQ31" s="63"/>
    </row>
    <row r="32" spans="1:43" ht="21.95" hidden="1" customHeight="1" x14ac:dyDescent="0.15">
      <c r="A32" s="58" t="s">
        <v>108</v>
      </c>
      <c r="B32" s="59"/>
      <c r="C32" s="7" t="s">
        <v>114</v>
      </c>
      <c r="D32" s="60">
        <f>0.5*B32</f>
        <v>0</v>
      </c>
      <c r="E32" s="60">
        <f>0.92*B32</f>
        <v>0</v>
      </c>
      <c r="F32" s="60">
        <f>B32*46.68</f>
        <v>0</v>
      </c>
      <c r="G32" s="60">
        <v>0</v>
      </c>
      <c r="H32" s="60">
        <v>0</v>
      </c>
      <c r="I32" s="60">
        <f>B32*10</f>
        <v>0</v>
      </c>
      <c r="J32" s="60">
        <f>IF(AI32&lt;=4,B32*(115.8-10),B32*(154.2-10))</f>
        <v>0</v>
      </c>
      <c r="K32" s="60">
        <f>B32*2.79</f>
        <v>0</v>
      </c>
      <c r="L32" s="60">
        <f>6.83*B32</f>
        <v>0</v>
      </c>
      <c r="M32" s="60">
        <f t="shared" si="55"/>
        <v>0</v>
      </c>
      <c r="N32" s="60">
        <f t="shared" si="68"/>
        <v>1.94</v>
      </c>
      <c r="O32" s="60">
        <f t="shared" si="69"/>
        <v>2.0349999999999997</v>
      </c>
      <c r="P32" s="60">
        <f t="shared" si="56"/>
        <v>0</v>
      </c>
      <c r="Q32" s="60">
        <f t="shared" si="57"/>
        <v>0</v>
      </c>
      <c r="R32" s="61">
        <f t="shared" si="58"/>
        <v>0</v>
      </c>
      <c r="S32" s="60">
        <f t="shared" si="59"/>
        <v>0</v>
      </c>
      <c r="T32" s="60">
        <f t="shared" si="60"/>
        <v>0</v>
      </c>
      <c r="U32" s="60">
        <f t="shared" si="61"/>
        <v>0</v>
      </c>
      <c r="V32" s="61">
        <f t="shared" si="62"/>
        <v>0</v>
      </c>
      <c r="W32" s="60">
        <f>0.47*B32</f>
        <v>0</v>
      </c>
      <c r="X32" s="60">
        <v>0</v>
      </c>
      <c r="Y32" s="60">
        <f>IF(AND(AK32&gt;=0.8,AK32&lt;=2),48.86*B32,57.02*B32)</f>
        <v>0</v>
      </c>
      <c r="Z32" s="8">
        <f t="shared" si="63"/>
        <v>0</v>
      </c>
      <c r="AA32" s="8">
        <f t="shared" si="64"/>
        <v>0</v>
      </c>
      <c r="AB32" s="8">
        <f t="shared" si="65"/>
        <v>0</v>
      </c>
      <c r="AC32" s="8">
        <f t="shared" si="66"/>
        <v>0</v>
      </c>
      <c r="AD32" s="9">
        <f t="shared" si="67"/>
        <v>0</v>
      </c>
      <c r="AE32" s="7"/>
      <c r="AH32" s="26"/>
      <c r="AI32" s="55">
        <v>4</v>
      </c>
      <c r="AJ32" s="55">
        <v>0.24</v>
      </c>
      <c r="AK32" s="38">
        <f>IF(AI32+0.135-AM32-0.16&gt;=0.4,AI32+0.135-AM32-0.16,0.4)</f>
        <v>2.0349999999999997</v>
      </c>
      <c r="AL32" s="62">
        <v>0.16</v>
      </c>
      <c r="AM32" s="38">
        <v>1.94</v>
      </c>
      <c r="AN32" s="38">
        <f>AI32-AK32-1.35-0.135</f>
        <v>0.4800000000000002</v>
      </c>
      <c r="AO32" s="38">
        <v>2.64</v>
      </c>
      <c r="AP32" s="38">
        <f>(3.38*2.58-2.38*1.58)</f>
        <v>4.9599999999999991</v>
      </c>
      <c r="AQ32" s="63"/>
    </row>
    <row r="33" spans="1:44" ht="21.95" hidden="1" customHeight="1" x14ac:dyDescent="0.15">
      <c r="A33" s="58" t="s">
        <v>108</v>
      </c>
      <c r="B33" s="59"/>
      <c r="C33" s="7" t="s">
        <v>115</v>
      </c>
      <c r="D33" s="60">
        <f>0.56*B33</f>
        <v>0</v>
      </c>
      <c r="E33" s="60">
        <f>1.03*B33</f>
        <v>0</v>
      </c>
      <c r="F33" s="60">
        <f>B33*53.18</f>
        <v>0</v>
      </c>
      <c r="G33" s="60">
        <v>0</v>
      </c>
      <c r="H33" s="60">
        <v>0</v>
      </c>
      <c r="I33" s="60">
        <f>B33*11.7</f>
        <v>0</v>
      </c>
      <c r="J33" s="60">
        <f>IF(AI33&lt;=4,B33*(123.2-11.7),B33*(163.7-11.7))</f>
        <v>0</v>
      </c>
      <c r="K33" s="60">
        <f>B33*3.38</f>
        <v>0</v>
      </c>
      <c r="L33" s="60">
        <f>8.01*B33</f>
        <v>0</v>
      </c>
      <c r="M33" s="60">
        <f t="shared" si="55"/>
        <v>0</v>
      </c>
      <c r="N33" s="60">
        <f t="shared" si="68"/>
        <v>2.17</v>
      </c>
      <c r="O33" s="60">
        <f t="shared" si="69"/>
        <v>1.8200000000000005</v>
      </c>
      <c r="P33" s="60">
        <f t="shared" si="56"/>
        <v>0</v>
      </c>
      <c r="Q33" s="60">
        <f t="shared" si="57"/>
        <v>0</v>
      </c>
      <c r="R33" s="61">
        <f t="shared" si="58"/>
        <v>0</v>
      </c>
      <c r="S33" s="60">
        <f t="shared" si="59"/>
        <v>0</v>
      </c>
      <c r="T33" s="60">
        <f t="shared" si="60"/>
        <v>0</v>
      </c>
      <c r="U33" s="60">
        <f t="shared" si="61"/>
        <v>0</v>
      </c>
      <c r="V33" s="61">
        <f t="shared" si="62"/>
        <v>0</v>
      </c>
      <c r="W33" s="60">
        <f>0.54*B33</f>
        <v>0</v>
      </c>
      <c r="X33" s="60">
        <v>0</v>
      </c>
      <c r="Y33" s="60">
        <f>IF(AND(AK33&gt;=0.8,AK33&lt;=2),54.59*B33,63.78*B33)</f>
        <v>0</v>
      </c>
      <c r="Z33" s="8">
        <f t="shared" si="63"/>
        <v>0</v>
      </c>
      <c r="AA33" s="8">
        <f t="shared" si="64"/>
        <v>0</v>
      </c>
      <c r="AB33" s="8">
        <f t="shared" si="65"/>
        <v>0</v>
      </c>
      <c r="AC33" s="8">
        <f t="shared" si="66"/>
        <v>0</v>
      </c>
      <c r="AD33" s="9">
        <f t="shared" si="67"/>
        <v>0</v>
      </c>
      <c r="AE33" s="7"/>
      <c r="AH33" s="26"/>
      <c r="AI33" s="55">
        <v>4</v>
      </c>
      <c r="AJ33" s="55">
        <v>0.24</v>
      </c>
      <c r="AK33" s="38">
        <f>IF(AI33+0.15-AM33-0.16&gt;=0.4,AI33+0.15-AM33-0.16,0.4)</f>
        <v>1.8200000000000005</v>
      </c>
      <c r="AL33" s="62">
        <v>0.16</v>
      </c>
      <c r="AM33" s="38">
        <v>2.17</v>
      </c>
      <c r="AN33" s="38">
        <f>AI33-AK33-1.5-0.15</f>
        <v>0.52999999999999969</v>
      </c>
      <c r="AO33" s="38">
        <v>2.64</v>
      </c>
      <c r="AP33" s="38">
        <f>(3.68*2.58-2.68*1.58)</f>
        <v>5.26</v>
      </c>
      <c r="AQ33" s="63"/>
    </row>
    <row r="34" spans="1:44" ht="21.95" hidden="1" customHeight="1" x14ac:dyDescent="0.15">
      <c r="A34" s="58" t="s">
        <v>108</v>
      </c>
      <c r="B34" s="59"/>
      <c r="C34" s="7" t="s">
        <v>116</v>
      </c>
      <c r="D34" s="60">
        <f>0.56*B34</f>
        <v>0</v>
      </c>
      <c r="E34" s="60">
        <f>1.03*B34</f>
        <v>0</v>
      </c>
      <c r="F34" s="60">
        <f>B34*53.18</f>
        <v>0</v>
      </c>
      <c r="G34" s="60">
        <v>0</v>
      </c>
      <c r="H34" s="60">
        <v>0</v>
      </c>
      <c r="I34" s="60">
        <f>B34*11.7</f>
        <v>0</v>
      </c>
      <c r="J34" s="60">
        <f>IF(AI34&lt;=4,B34*(130.9-11.7),B34*(174.1-11.7))</f>
        <v>0</v>
      </c>
      <c r="K34" s="60">
        <f>B34*3.38</f>
        <v>0</v>
      </c>
      <c r="L34" s="60">
        <f>8.01*B34</f>
        <v>0</v>
      </c>
      <c r="M34" s="60">
        <f t="shared" si="55"/>
        <v>0</v>
      </c>
      <c r="N34" s="60">
        <f t="shared" si="68"/>
        <v>2.17</v>
      </c>
      <c r="O34" s="60">
        <f t="shared" si="69"/>
        <v>1.8350000000000002</v>
      </c>
      <c r="P34" s="60">
        <f t="shared" si="56"/>
        <v>0</v>
      </c>
      <c r="Q34" s="60">
        <f t="shared" si="57"/>
        <v>0</v>
      </c>
      <c r="R34" s="61">
        <f t="shared" si="58"/>
        <v>0</v>
      </c>
      <c r="S34" s="60">
        <f t="shared" si="59"/>
        <v>0</v>
      </c>
      <c r="T34" s="60">
        <f t="shared" si="60"/>
        <v>0</v>
      </c>
      <c r="U34" s="60">
        <f t="shared" si="61"/>
        <v>0</v>
      </c>
      <c r="V34" s="61">
        <f t="shared" si="62"/>
        <v>0</v>
      </c>
      <c r="W34" s="60">
        <f>0.54*B34</f>
        <v>0</v>
      </c>
      <c r="X34" s="60">
        <v>0</v>
      </c>
      <c r="Y34" s="60">
        <f>IF(AND(AK34&gt;=0.8,AK34&lt;=2),54.59*B34,63.78*B34)</f>
        <v>0</v>
      </c>
      <c r="Z34" s="8">
        <f t="shared" si="63"/>
        <v>0</v>
      </c>
      <c r="AA34" s="8">
        <f t="shared" si="64"/>
        <v>0</v>
      </c>
      <c r="AB34" s="8">
        <f t="shared" si="65"/>
        <v>0</v>
      </c>
      <c r="AC34" s="8">
        <f t="shared" si="66"/>
        <v>0</v>
      </c>
      <c r="AD34" s="9">
        <f t="shared" si="67"/>
        <v>0</v>
      </c>
      <c r="AE34" s="7"/>
      <c r="AH34" s="26"/>
      <c r="AI34" s="55">
        <v>4</v>
      </c>
      <c r="AJ34" s="55">
        <v>0.24</v>
      </c>
      <c r="AK34" s="38">
        <f>IF(AI34+0.165-AM34-0.16&gt;=0.4,AI34+0.165-AM34-0.16,0.4)</f>
        <v>1.8350000000000002</v>
      </c>
      <c r="AL34" s="62">
        <v>0.16</v>
      </c>
      <c r="AM34" s="38">
        <v>2.17</v>
      </c>
      <c r="AN34" s="38">
        <f>0.36+0.14</f>
        <v>0.5</v>
      </c>
      <c r="AO34" s="38">
        <v>2.64</v>
      </c>
      <c r="AP34" s="38">
        <f>(3.68*2.58-2.68*1.58)</f>
        <v>5.26</v>
      </c>
      <c r="AQ34" s="63"/>
    </row>
    <row r="35" spans="1:44" ht="21.95" hidden="1" customHeight="1" x14ac:dyDescent="0.15">
      <c r="A35" s="58" t="s">
        <v>108</v>
      </c>
      <c r="B35" s="59"/>
      <c r="C35" s="7" t="s">
        <v>117</v>
      </c>
      <c r="D35" s="60">
        <f>0.74*B35</f>
        <v>0</v>
      </c>
      <c r="E35" s="60">
        <f>1.36*B35</f>
        <v>0</v>
      </c>
      <c r="F35" s="60">
        <f>B35*72.09</f>
        <v>0</v>
      </c>
      <c r="G35" s="60">
        <v>0</v>
      </c>
      <c r="H35" s="60">
        <v>0</v>
      </c>
      <c r="I35" s="60">
        <f>B35*13.3</f>
        <v>0</v>
      </c>
      <c r="J35" s="60">
        <f>IF(AI35&lt;=4,B35*(140.2-13.3),B35*(186.3-13.3))</f>
        <v>0</v>
      </c>
      <c r="K35" s="60">
        <f>B35*5.83</f>
        <v>0</v>
      </c>
      <c r="L35" s="60">
        <f>8.93*B35</f>
        <v>0</v>
      </c>
      <c r="M35" s="60">
        <f t="shared" si="55"/>
        <v>0</v>
      </c>
      <c r="N35" s="60">
        <f t="shared" si="68"/>
        <v>2.41</v>
      </c>
      <c r="O35" s="60">
        <f t="shared" si="69"/>
        <v>1.6099999999999997</v>
      </c>
      <c r="P35" s="60">
        <f t="shared" si="56"/>
        <v>0</v>
      </c>
      <c r="Q35" s="60">
        <f t="shared" si="57"/>
        <v>0</v>
      </c>
      <c r="R35" s="61">
        <f t="shared" si="58"/>
        <v>0</v>
      </c>
      <c r="S35" s="60">
        <f t="shared" si="59"/>
        <v>0</v>
      </c>
      <c r="T35" s="60">
        <f t="shared" si="60"/>
        <v>0</v>
      </c>
      <c r="U35" s="60">
        <f t="shared" si="61"/>
        <v>0</v>
      </c>
      <c r="V35" s="61">
        <f t="shared" si="62"/>
        <v>0</v>
      </c>
      <c r="W35" s="60">
        <f>IF(AND(AK35&gt;=0.8,AK35&lt;=2),0.52*B35,0.55*B35)</f>
        <v>0</v>
      </c>
      <c r="X35" s="60">
        <v>0</v>
      </c>
      <c r="Y35" s="60">
        <f>IF(AND(AK35&gt;=0.4,AK35&lt;=2),56.12*B35,66.2*B35)</f>
        <v>0</v>
      </c>
      <c r="Z35" s="8">
        <f t="shared" si="63"/>
        <v>0</v>
      </c>
      <c r="AA35" s="8">
        <f t="shared" si="64"/>
        <v>0</v>
      </c>
      <c r="AB35" s="8">
        <f t="shared" si="65"/>
        <v>0</v>
      </c>
      <c r="AC35" s="8">
        <f t="shared" si="66"/>
        <v>0</v>
      </c>
      <c r="AD35" s="9">
        <f t="shared" si="67"/>
        <v>0</v>
      </c>
      <c r="AE35" s="7"/>
      <c r="AH35" s="26"/>
      <c r="AI35" s="55">
        <v>4</v>
      </c>
      <c r="AJ35" s="55">
        <v>0.24</v>
      </c>
      <c r="AK35" s="38">
        <f>IF(AI35+0.18-AM35-0.16&gt;=0.4,AI35+0.18-AM35-0.16,0.4)</f>
        <v>1.6099999999999997</v>
      </c>
      <c r="AL35" s="62">
        <v>0.16</v>
      </c>
      <c r="AM35" s="38">
        <v>2.41</v>
      </c>
      <c r="AN35" s="38">
        <f t="shared" ref="AN35:AN38" si="70">0.36+0.14</f>
        <v>0.5</v>
      </c>
      <c r="AO35" s="38">
        <v>2.64</v>
      </c>
      <c r="AP35" s="38">
        <f>(4.14*2.84-3.14*1.84)</f>
        <v>5.9799999999999978</v>
      </c>
      <c r="AQ35" s="63"/>
      <c r="AR35" s="1">
        <f>1.1+0.37*2+1</f>
        <v>2.84</v>
      </c>
    </row>
    <row r="36" spans="1:44" ht="21" hidden="1" customHeight="1" x14ac:dyDescent="0.15">
      <c r="A36" s="58" t="s">
        <v>108</v>
      </c>
      <c r="B36" s="59"/>
      <c r="C36" s="7" t="s">
        <v>118</v>
      </c>
      <c r="D36" s="60">
        <f>0.78*B36</f>
        <v>0</v>
      </c>
      <c r="E36" s="60">
        <f>1.44*B36</f>
        <v>0</v>
      </c>
      <c r="F36" s="60">
        <f>B36*76.42</f>
        <v>0</v>
      </c>
      <c r="G36" s="60">
        <v>0</v>
      </c>
      <c r="H36" s="60">
        <v>0</v>
      </c>
      <c r="I36" s="60">
        <f>B36*15</f>
        <v>0</v>
      </c>
      <c r="J36" s="60">
        <f>IF(AI36&lt;=4,B36*(213.9-15),B36*(274.7-15))</f>
        <v>0</v>
      </c>
      <c r="K36" s="60">
        <f>B36*6.82</f>
        <v>0</v>
      </c>
      <c r="L36" s="60">
        <f>9.85*B36</f>
        <v>0</v>
      </c>
      <c r="M36" s="60">
        <f t="shared" si="55"/>
        <v>0</v>
      </c>
      <c r="N36" s="60">
        <f t="shared" si="68"/>
        <v>2.75</v>
      </c>
      <c r="O36" s="60">
        <f t="shared" si="69"/>
        <v>1.2900000000000003</v>
      </c>
      <c r="P36" s="60">
        <f t="shared" si="56"/>
        <v>0</v>
      </c>
      <c r="Q36" s="60">
        <f t="shared" si="57"/>
        <v>0</v>
      </c>
      <c r="R36" s="61">
        <f t="shared" si="58"/>
        <v>0</v>
      </c>
      <c r="S36" s="60">
        <f t="shared" si="59"/>
        <v>0</v>
      </c>
      <c r="T36" s="60">
        <f t="shared" si="60"/>
        <v>0</v>
      </c>
      <c r="U36" s="60">
        <f t="shared" si="61"/>
        <v>0</v>
      </c>
      <c r="V36" s="61">
        <f t="shared" si="62"/>
        <v>0</v>
      </c>
      <c r="W36" s="60">
        <f>IF(AND(AK36&gt;=0.8,AK36&lt;=2),0.55*B36,0.59*B36)</f>
        <v>0</v>
      </c>
      <c r="X36" s="60">
        <v>0</v>
      </c>
      <c r="Y36" s="60">
        <f>IF(AND(AK36&gt;=0.4,AK36&lt;=2),58.57*B36,70.45*B36)</f>
        <v>0</v>
      </c>
      <c r="Z36" s="8">
        <f t="shared" si="63"/>
        <v>0</v>
      </c>
      <c r="AA36" s="8">
        <f t="shared" si="64"/>
        <v>0</v>
      </c>
      <c r="AB36" s="8">
        <f t="shared" si="65"/>
        <v>0</v>
      </c>
      <c r="AC36" s="8">
        <f t="shared" si="66"/>
        <v>0</v>
      </c>
      <c r="AD36" s="9">
        <f t="shared" si="67"/>
        <v>0</v>
      </c>
      <c r="AE36" s="7"/>
      <c r="AH36" s="26"/>
      <c r="AI36" s="55">
        <v>4</v>
      </c>
      <c r="AJ36" s="55">
        <v>0.24</v>
      </c>
      <c r="AK36" s="38">
        <f>IF(AI36+0.2-AM36-0.16&gt;=0.4,AI36+0.2-AM36-0.16,0.4)</f>
        <v>1.2900000000000003</v>
      </c>
      <c r="AL36" s="62">
        <v>0.16</v>
      </c>
      <c r="AM36" s="38">
        <v>2.75</v>
      </c>
      <c r="AN36" s="38">
        <f t="shared" si="70"/>
        <v>0.5</v>
      </c>
      <c r="AO36" s="38">
        <v>2.64</v>
      </c>
      <c r="AP36" s="38">
        <f>(4.34*2.84-3.34*1.84)</f>
        <v>6.18</v>
      </c>
      <c r="AQ36" s="63"/>
    </row>
    <row r="37" spans="1:44" ht="21" hidden="1" customHeight="1" x14ac:dyDescent="0.15">
      <c r="A37" s="58" t="s">
        <v>108</v>
      </c>
      <c r="B37" s="59"/>
      <c r="C37" s="7" t="s">
        <v>119</v>
      </c>
      <c r="D37" s="60">
        <f>0.84*B37</f>
        <v>0</v>
      </c>
      <c r="E37" s="60">
        <f>1.57*B37</f>
        <v>0</v>
      </c>
      <c r="F37" s="60">
        <f>B37*84.08</f>
        <v>0</v>
      </c>
      <c r="G37" s="60">
        <v>0</v>
      </c>
      <c r="H37" s="60">
        <v>0</v>
      </c>
      <c r="I37" s="60">
        <f>B37*15</f>
        <v>0</v>
      </c>
      <c r="J37" s="60">
        <f>IF(AI37&lt;=4,B37*(213.9-15),B37*(274.7-15))</f>
        <v>0</v>
      </c>
      <c r="K37" s="60">
        <f>B37*7.86</f>
        <v>0</v>
      </c>
      <c r="L37" s="60">
        <f>11.17*B37</f>
        <v>0</v>
      </c>
      <c r="M37" s="60">
        <f t="shared" si="55"/>
        <v>0</v>
      </c>
      <c r="N37" s="60">
        <f t="shared" si="68"/>
        <v>2.99</v>
      </c>
      <c r="O37" s="60">
        <f t="shared" si="69"/>
        <v>1.0699999999999996</v>
      </c>
      <c r="P37" s="60">
        <f t="shared" si="56"/>
        <v>0</v>
      </c>
      <c r="Q37" s="60">
        <f t="shared" si="57"/>
        <v>0</v>
      </c>
      <c r="R37" s="61">
        <f t="shared" si="58"/>
        <v>0</v>
      </c>
      <c r="S37" s="60">
        <f t="shared" si="59"/>
        <v>0</v>
      </c>
      <c r="T37" s="60">
        <f t="shared" si="60"/>
        <v>0</v>
      </c>
      <c r="U37" s="60">
        <f t="shared" si="61"/>
        <v>0</v>
      </c>
      <c r="V37" s="61">
        <f t="shared" si="62"/>
        <v>0</v>
      </c>
      <c r="W37" s="60">
        <f>IF(AND(AK37&gt;=0.8,AK37&lt;=2),0.61*B37,0.64*B37)</f>
        <v>0</v>
      </c>
      <c r="X37" s="60">
        <v>0</v>
      </c>
      <c r="Y37" s="60">
        <f>IF(AND(AK37&gt;=0.4,AK37&lt;=2),64.49*B37,77.26*B37)</f>
        <v>0</v>
      </c>
      <c r="Z37" s="8">
        <f t="shared" si="63"/>
        <v>0</v>
      </c>
      <c r="AA37" s="8">
        <f t="shared" si="64"/>
        <v>0</v>
      </c>
      <c r="AB37" s="8">
        <f t="shared" si="65"/>
        <v>0</v>
      </c>
      <c r="AC37" s="8">
        <f t="shared" si="66"/>
        <v>0</v>
      </c>
      <c r="AD37" s="9">
        <f t="shared" si="67"/>
        <v>0</v>
      </c>
      <c r="AE37" s="7"/>
      <c r="AH37" s="26"/>
      <c r="AI37" s="55">
        <v>4</v>
      </c>
      <c r="AJ37" s="55">
        <v>0.24</v>
      </c>
      <c r="AK37" s="38">
        <f>IF(AI37+0.22-AM37-0.16&gt;=0.4,AI37+0.22-AM37-0.16,0.4)</f>
        <v>1.0699999999999996</v>
      </c>
      <c r="AL37" s="62">
        <v>0.16</v>
      </c>
      <c r="AM37" s="38">
        <v>2.99</v>
      </c>
      <c r="AN37" s="38">
        <f t="shared" si="70"/>
        <v>0.5</v>
      </c>
      <c r="AO37" s="38">
        <v>2.64</v>
      </c>
      <c r="AP37" s="38">
        <f>(4.64*2.84-3.64*1.84)</f>
        <v>6.4799999999999978</v>
      </c>
      <c r="AQ37" s="63"/>
    </row>
    <row r="38" spans="1:44" ht="21" hidden="1" customHeight="1" x14ac:dyDescent="0.15">
      <c r="A38" s="58" t="s">
        <v>108</v>
      </c>
      <c r="B38" s="59"/>
      <c r="C38" s="7" t="s">
        <v>120</v>
      </c>
      <c r="D38" s="60">
        <f>0.89*B38</f>
        <v>0</v>
      </c>
      <c r="E38" s="60">
        <f>1.65*B38</f>
        <v>0</v>
      </c>
      <c r="F38" s="60">
        <f>B38*88.4</f>
        <v>0</v>
      </c>
      <c r="G38" s="60">
        <v>0</v>
      </c>
      <c r="H38" s="60">
        <v>0</v>
      </c>
      <c r="I38" s="60">
        <f>B38*15</f>
        <v>0</v>
      </c>
      <c r="J38" s="60">
        <f>IF(AI38&lt;=4,B38*(213.9-15),B38*(274.7-15))</f>
        <v>0</v>
      </c>
      <c r="K38" s="60">
        <f>B38*8.59</f>
        <v>0</v>
      </c>
      <c r="L38" s="60">
        <f>12.15*B38</f>
        <v>0</v>
      </c>
      <c r="M38" s="60">
        <f t="shared" si="55"/>
        <v>0</v>
      </c>
      <c r="N38" s="60">
        <f t="shared" si="68"/>
        <v>3.23</v>
      </c>
      <c r="O38" s="60">
        <f t="shared" si="69"/>
        <v>0.8500000000000002</v>
      </c>
      <c r="P38" s="60">
        <f t="shared" si="56"/>
        <v>0</v>
      </c>
      <c r="Q38" s="60">
        <f t="shared" si="57"/>
        <v>0</v>
      </c>
      <c r="R38" s="61">
        <f t="shared" si="58"/>
        <v>0</v>
      </c>
      <c r="S38" s="60">
        <f t="shared" si="59"/>
        <v>0</v>
      </c>
      <c r="T38" s="60">
        <f t="shared" si="60"/>
        <v>0</v>
      </c>
      <c r="U38" s="60">
        <f t="shared" si="61"/>
        <v>0</v>
      </c>
      <c r="V38" s="61">
        <f t="shared" si="62"/>
        <v>0</v>
      </c>
      <c r="W38" s="60">
        <f>IF(AND(AK38&gt;=0.8,AK38&lt;=2),0.64*B38,0.68*B38)</f>
        <v>0</v>
      </c>
      <c r="X38" s="60">
        <v>0</v>
      </c>
      <c r="Y38" s="60">
        <f>IF(AND(AK38&gt;=0.4,AK38&lt;=2),68.53*B38,82.19*B38)</f>
        <v>0</v>
      </c>
      <c r="Z38" s="8">
        <f t="shared" si="63"/>
        <v>0</v>
      </c>
      <c r="AA38" s="8">
        <f t="shared" si="64"/>
        <v>0</v>
      </c>
      <c r="AB38" s="8">
        <f t="shared" si="65"/>
        <v>0</v>
      </c>
      <c r="AC38" s="8">
        <f t="shared" si="66"/>
        <v>0</v>
      </c>
      <c r="AD38" s="9">
        <f t="shared" si="67"/>
        <v>0</v>
      </c>
      <c r="AE38" s="7"/>
      <c r="AH38" s="26"/>
      <c r="AI38" s="55">
        <v>4</v>
      </c>
      <c r="AJ38" s="55">
        <v>0.24</v>
      </c>
      <c r="AK38" s="38">
        <f>IF(AI38+0.24-AM38-0.16&gt;=0.4,AI38+0.24-AM38-0.16,0.4)</f>
        <v>0.8500000000000002</v>
      </c>
      <c r="AL38" s="62">
        <v>0.16</v>
      </c>
      <c r="AM38" s="38">
        <v>3.23</v>
      </c>
      <c r="AN38" s="38">
        <f t="shared" si="70"/>
        <v>0.5</v>
      </c>
      <c r="AO38" s="38">
        <v>2.64</v>
      </c>
      <c r="AP38" s="38">
        <f>(4.84*2.84-3.84*1.84)</f>
        <v>6.68</v>
      </c>
      <c r="AQ38" s="63"/>
    </row>
    <row r="39" spans="1:44" ht="21" hidden="1" customHeight="1" x14ac:dyDescent="0.15">
      <c r="A39" s="58" t="s">
        <v>27</v>
      </c>
      <c r="B39" s="59">
        <f>SUM(B29:B38)</f>
        <v>0</v>
      </c>
      <c r="C39" s="7" t="s">
        <v>82</v>
      </c>
      <c r="D39" s="60">
        <f t="shared" ref="D39:J39" si="71">SUM(D29:D38)</f>
        <v>0</v>
      </c>
      <c r="E39" s="60">
        <f t="shared" si="71"/>
        <v>0</v>
      </c>
      <c r="F39" s="60">
        <f t="shared" si="71"/>
        <v>0</v>
      </c>
      <c r="G39" s="60">
        <f t="shared" si="71"/>
        <v>0</v>
      </c>
      <c r="H39" s="60">
        <f t="shared" si="71"/>
        <v>0</v>
      </c>
      <c r="I39" s="60">
        <f t="shared" si="71"/>
        <v>0</v>
      </c>
      <c r="J39" s="60">
        <f t="shared" si="71"/>
        <v>0</v>
      </c>
      <c r="K39" s="60">
        <f>SUM(K29:K38)</f>
        <v>0</v>
      </c>
      <c r="L39" s="60">
        <f t="shared" ref="L39:AD39" si="72">SUM(L29:L38)</f>
        <v>0</v>
      </c>
      <c r="M39" s="60">
        <f t="shared" si="72"/>
        <v>0</v>
      </c>
      <c r="N39" s="60">
        <f t="shared" si="72"/>
        <v>23.360000000000003</v>
      </c>
      <c r="O39" s="60">
        <f t="shared" si="72"/>
        <v>16.670000000000002</v>
      </c>
      <c r="P39" s="60">
        <f t="shared" si="72"/>
        <v>0</v>
      </c>
      <c r="Q39" s="60">
        <f t="shared" si="72"/>
        <v>0</v>
      </c>
      <c r="R39" s="61">
        <f t="shared" si="72"/>
        <v>0</v>
      </c>
      <c r="S39" s="60">
        <f t="shared" si="72"/>
        <v>0</v>
      </c>
      <c r="T39" s="60">
        <f t="shared" si="72"/>
        <v>0</v>
      </c>
      <c r="U39" s="60">
        <f t="shared" si="72"/>
        <v>0</v>
      </c>
      <c r="V39" s="61">
        <f t="shared" si="72"/>
        <v>0</v>
      </c>
      <c r="W39" s="60">
        <f t="shared" si="72"/>
        <v>0</v>
      </c>
      <c r="X39" s="60">
        <f t="shared" si="72"/>
        <v>0</v>
      </c>
      <c r="Y39" s="60">
        <f t="shared" si="72"/>
        <v>0</v>
      </c>
      <c r="Z39" s="8">
        <f t="shared" si="72"/>
        <v>0</v>
      </c>
      <c r="AA39" s="8">
        <f t="shared" si="72"/>
        <v>0</v>
      </c>
      <c r="AB39" s="8">
        <f t="shared" si="72"/>
        <v>0</v>
      </c>
      <c r="AC39" s="8">
        <f t="shared" si="72"/>
        <v>0</v>
      </c>
      <c r="AD39" s="9">
        <f t="shared" si="72"/>
        <v>0</v>
      </c>
      <c r="AE39" s="7"/>
      <c r="AH39" s="26"/>
      <c r="AI39" s="55"/>
      <c r="AJ39" s="55"/>
      <c r="AK39" s="38"/>
      <c r="AL39" s="62"/>
      <c r="AM39" s="38"/>
      <c r="AN39" s="38"/>
      <c r="AO39" s="38"/>
      <c r="AP39" s="38"/>
      <c r="AQ39" s="63"/>
    </row>
    <row r="40" spans="1:44" ht="21.95" customHeight="1" x14ac:dyDescent="0.15">
      <c r="A40" s="383" t="s">
        <v>121</v>
      </c>
      <c r="B40" s="383"/>
      <c r="C40" s="383"/>
      <c r="D40" s="383"/>
      <c r="E40" s="383"/>
      <c r="F40" s="383"/>
      <c r="G40" s="383"/>
      <c r="H40" s="383"/>
      <c r="I40" s="383"/>
      <c r="J40" s="383"/>
      <c r="K40" s="383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/>
      <c r="W40" s="383"/>
      <c r="X40" s="383"/>
      <c r="Y40" s="383"/>
      <c r="Z40" s="383"/>
      <c r="AA40" s="383"/>
      <c r="AB40" s="383"/>
      <c r="AC40" s="383"/>
      <c r="AD40" s="383"/>
      <c r="AE40" s="383"/>
      <c r="AI40" s="53" t="s">
        <v>73</v>
      </c>
      <c r="AJ40" s="55" t="s">
        <v>74</v>
      </c>
      <c r="AK40" s="43" t="s">
        <v>75</v>
      </c>
      <c r="AL40" s="56" t="s">
        <v>101</v>
      </c>
      <c r="AM40" s="43" t="s">
        <v>76</v>
      </c>
      <c r="AN40" s="43" t="s">
        <v>77</v>
      </c>
      <c r="AO40" s="43" t="s">
        <v>78</v>
      </c>
      <c r="AP40" s="57" t="s">
        <v>79</v>
      </c>
      <c r="AQ40" s="40"/>
    </row>
    <row r="41" spans="1:44" ht="21.95" customHeight="1" x14ac:dyDescent="0.15">
      <c r="A41" s="58" t="s">
        <v>108</v>
      </c>
      <c r="B41" s="59"/>
      <c r="C41" s="7" t="s">
        <v>111</v>
      </c>
      <c r="D41" s="60">
        <f>0.59*B41</f>
        <v>0</v>
      </c>
      <c r="E41" s="60">
        <f>1.36*B41</f>
        <v>0</v>
      </c>
      <c r="F41" s="60">
        <f>(B41)*47.95</f>
        <v>0</v>
      </c>
      <c r="G41" s="60">
        <v>0</v>
      </c>
      <c r="H41" s="60">
        <v>0</v>
      </c>
      <c r="I41" s="60">
        <f>7.6*B41</f>
        <v>0</v>
      </c>
      <c r="J41" s="60">
        <f>IF(AI41&lt;=4,B41*(90.4-7.6),B41*(120.4-7.6))</f>
        <v>0</v>
      </c>
      <c r="K41" s="60">
        <f>B41*2.41</f>
        <v>0</v>
      </c>
      <c r="L41" s="60">
        <f>18.85*B41</f>
        <v>0</v>
      </c>
      <c r="M41" s="60">
        <f t="shared" ref="M41:M50" si="73">0.71*B41*AK41</f>
        <v>0</v>
      </c>
      <c r="N41" s="60">
        <f>AM41</f>
        <v>1.88</v>
      </c>
      <c r="O41" s="60">
        <f>AK41</f>
        <v>0.4</v>
      </c>
      <c r="P41" s="60">
        <f t="shared" ref="P41:P50" si="74">0.253*0.1*B41</f>
        <v>0</v>
      </c>
      <c r="Q41" s="60">
        <f t="shared" ref="Q41:Q50" si="75">2.53*0.395*B41</f>
        <v>0</v>
      </c>
      <c r="R41" s="61">
        <f t="shared" ref="R41:R50" si="76">B41</f>
        <v>0</v>
      </c>
      <c r="S41" s="60">
        <f t="shared" ref="S41:S50" si="77">0.167*B41</f>
        <v>0</v>
      </c>
      <c r="T41" s="60">
        <f>4.83*B41</f>
        <v>0</v>
      </c>
      <c r="U41" s="60">
        <f>(21.38-4.83)*B41</f>
        <v>0</v>
      </c>
      <c r="V41" s="61">
        <f t="shared" ref="V41:V50" si="78">B41</f>
        <v>0</v>
      </c>
      <c r="W41" s="60">
        <f>IF(AND(AK41&gt;=0.8,AK41&lt;=2),0.27*B41,0.3*B41)</f>
        <v>0</v>
      </c>
      <c r="X41" s="60">
        <v>0</v>
      </c>
      <c r="Y41" s="60">
        <f>34.91*B41</f>
        <v>0</v>
      </c>
      <c r="Z41" s="8">
        <f t="shared" ref="Z41:Z50" si="79">AI41/0.36*B41</f>
        <v>0</v>
      </c>
      <c r="AA41" s="8">
        <f t="shared" ref="AA41:AA50" si="80">B41*1</f>
        <v>0</v>
      </c>
      <c r="AB41" s="8">
        <f t="shared" ref="AB41:AB50" si="81">AA41</f>
        <v>0</v>
      </c>
      <c r="AC41" s="8">
        <f t="shared" ref="AC41:AC50" si="82">8*B41</f>
        <v>0</v>
      </c>
      <c r="AD41" s="9">
        <f t="shared" ref="AD41:AD50" si="83">IF(AK41&gt;=AJ41,((AK41-AJ41)*AO41+AN41*AP41)*B41,((AN41+AK41-AJ41)*AP41)*B41)</f>
        <v>0</v>
      </c>
      <c r="AE41" s="7"/>
      <c r="AH41" s="26"/>
      <c r="AI41" s="55">
        <v>2.1</v>
      </c>
      <c r="AJ41" s="55">
        <v>0.24</v>
      </c>
      <c r="AK41" s="38">
        <f>IF(AI41+0.08-AM41-0.16&gt;=0.4,AI41+0.08-AM41-0.14,0.4)</f>
        <v>0.4</v>
      </c>
      <c r="AL41" s="62">
        <f>IF(0.8&lt;=AK41&lt;=2,0.14,0.16)</f>
        <v>0.16</v>
      </c>
      <c r="AM41" s="38">
        <v>1.88</v>
      </c>
      <c r="AN41" s="38">
        <f>AI41-AK41-0.8-0.08</f>
        <v>0.82000000000000017</v>
      </c>
      <c r="AO41" s="38">
        <v>2.64</v>
      </c>
      <c r="AP41" s="38">
        <f>(3.18*3.08-2.18*2.08)</f>
        <v>5.2600000000000007</v>
      </c>
      <c r="AQ41" s="63"/>
    </row>
    <row r="42" spans="1:44" ht="21.95" hidden="1" customHeight="1" x14ac:dyDescent="0.15">
      <c r="A42" s="58" t="s">
        <v>108</v>
      </c>
      <c r="B42" s="59"/>
      <c r="C42" s="7" t="s">
        <v>112</v>
      </c>
      <c r="D42" s="60">
        <f>0.64*B42</f>
        <v>0</v>
      </c>
      <c r="E42" s="60">
        <f>1.47*B42</f>
        <v>0</v>
      </c>
      <c r="F42" s="60">
        <f>B42*52.04</f>
        <v>0</v>
      </c>
      <c r="G42" s="60">
        <v>0</v>
      </c>
      <c r="H42" s="60">
        <v>0</v>
      </c>
      <c r="I42" s="60">
        <f>B42*7.6</f>
        <v>0</v>
      </c>
      <c r="J42" s="60">
        <f>IF(AI42&lt;=4,B42*(98.1-7.6),B42*(131.6-7.6))</f>
        <v>0</v>
      </c>
      <c r="K42" s="60">
        <f>B42*2.51</f>
        <v>0</v>
      </c>
      <c r="L42" s="60">
        <f>19.57*B42</f>
        <v>0</v>
      </c>
      <c r="M42" s="60">
        <f t="shared" si="73"/>
        <v>0</v>
      </c>
      <c r="N42" s="60">
        <f t="shared" ref="N42:N50" si="84">AM42</f>
        <v>1.9</v>
      </c>
      <c r="O42" s="60">
        <f t="shared" ref="O42:O50" si="85">AK42</f>
        <v>2.0599999999999996</v>
      </c>
      <c r="P42" s="60">
        <f t="shared" si="74"/>
        <v>0</v>
      </c>
      <c r="Q42" s="60">
        <f t="shared" si="75"/>
        <v>0</v>
      </c>
      <c r="R42" s="61">
        <f t="shared" si="76"/>
        <v>0</v>
      </c>
      <c r="S42" s="60">
        <f t="shared" si="77"/>
        <v>0</v>
      </c>
      <c r="T42" s="60">
        <f t="shared" ref="T42:T45" si="86">4.83*B42</f>
        <v>0</v>
      </c>
      <c r="U42" s="60">
        <f t="shared" ref="U42:U45" si="87">(21.38-4.83)*B42</f>
        <v>0</v>
      </c>
      <c r="V42" s="61">
        <f t="shared" si="78"/>
        <v>0</v>
      </c>
      <c r="W42" s="60">
        <f>IF(AND(AK42&gt;=0.8,AK42&lt;=2),0.31*B42,0.35*B42)</f>
        <v>0</v>
      </c>
      <c r="X42" s="60">
        <v>0</v>
      </c>
      <c r="Y42" s="60">
        <f>36.08*B42</f>
        <v>0</v>
      </c>
      <c r="Z42" s="8">
        <f t="shared" si="79"/>
        <v>0</v>
      </c>
      <c r="AA42" s="8">
        <f t="shared" si="80"/>
        <v>0</v>
      </c>
      <c r="AB42" s="8">
        <f t="shared" si="81"/>
        <v>0</v>
      </c>
      <c r="AC42" s="8">
        <f t="shared" si="82"/>
        <v>0</v>
      </c>
      <c r="AD42" s="9">
        <f t="shared" si="83"/>
        <v>0</v>
      </c>
      <c r="AE42" s="7"/>
      <c r="AH42" s="26"/>
      <c r="AI42" s="55">
        <v>4</v>
      </c>
      <c r="AJ42" s="55">
        <v>0.24</v>
      </c>
      <c r="AK42" s="38">
        <f>IF(AI42+0.1-AM42-0.16&gt;=0.4,AI42+0.1-AM42-0.14,0.4)</f>
        <v>2.0599999999999996</v>
      </c>
      <c r="AL42" s="62">
        <f>IF(0.8&lt;=AK42&lt;=2,0.14,0.16)</f>
        <v>0.16</v>
      </c>
      <c r="AM42" s="38">
        <v>1.9</v>
      </c>
      <c r="AN42" s="38">
        <f>AI42-AK42-1-0.1</f>
        <v>0.84000000000000041</v>
      </c>
      <c r="AO42" s="38">
        <v>2.64</v>
      </c>
      <c r="AP42" s="38">
        <f>(3.38*3.08-2.38*2.08)</f>
        <v>5.4599999999999991</v>
      </c>
      <c r="AQ42" s="63"/>
    </row>
    <row r="43" spans="1:44" ht="21.75" customHeight="1" x14ac:dyDescent="0.15">
      <c r="A43" s="58" t="s">
        <v>108</v>
      </c>
      <c r="B43" s="59"/>
      <c r="C43" s="7" t="s">
        <v>113</v>
      </c>
      <c r="D43" s="60">
        <f>0.71*B43</f>
        <v>0</v>
      </c>
      <c r="E43" s="60">
        <f>1.64*B43</f>
        <v>0</v>
      </c>
      <c r="F43" s="60">
        <f>B43*59.14</f>
        <v>0</v>
      </c>
      <c r="G43" s="60">
        <v>0</v>
      </c>
      <c r="H43" s="60">
        <v>0</v>
      </c>
      <c r="I43" s="60">
        <f>B43*9.1</f>
        <v>0</v>
      </c>
      <c r="J43" s="60">
        <f>IF(AI43&lt;=4,B43*(107.2-9.1),B43*(142.8-9.1))</f>
        <v>0</v>
      </c>
      <c r="K43" s="60">
        <f>B43*2.74</f>
        <v>0</v>
      </c>
      <c r="L43" s="60">
        <f>20.99*B43</f>
        <v>0</v>
      </c>
      <c r="M43" s="60">
        <f t="shared" si="73"/>
        <v>0</v>
      </c>
      <c r="N43" s="60">
        <f t="shared" si="84"/>
        <v>1.92</v>
      </c>
      <c r="O43" s="60">
        <f t="shared" si="85"/>
        <v>1.0400000000000003</v>
      </c>
      <c r="P43" s="60">
        <f t="shared" si="74"/>
        <v>0</v>
      </c>
      <c r="Q43" s="60">
        <f t="shared" si="75"/>
        <v>0</v>
      </c>
      <c r="R43" s="61">
        <f t="shared" si="76"/>
        <v>0</v>
      </c>
      <c r="S43" s="60">
        <f t="shared" si="77"/>
        <v>0</v>
      </c>
      <c r="T43" s="60">
        <f t="shared" si="86"/>
        <v>0</v>
      </c>
      <c r="U43" s="60">
        <f t="shared" si="87"/>
        <v>0</v>
      </c>
      <c r="V43" s="61">
        <f t="shared" si="78"/>
        <v>0</v>
      </c>
      <c r="W43" s="60">
        <f>0.42*B43</f>
        <v>0</v>
      </c>
      <c r="X43" s="60">
        <v>0</v>
      </c>
      <c r="Y43" s="60">
        <f>IF(AND(AK43&gt;=0.4,AK43&lt;=2),45.59*B43,53.25*B43)</f>
        <v>0</v>
      </c>
      <c r="Z43" s="8">
        <f t="shared" si="79"/>
        <v>0</v>
      </c>
      <c r="AA43" s="8">
        <f t="shared" si="80"/>
        <v>0</v>
      </c>
      <c r="AB43" s="8">
        <f t="shared" si="81"/>
        <v>0</v>
      </c>
      <c r="AC43" s="8">
        <f t="shared" si="82"/>
        <v>0</v>
      </c>
      <c r="AD43" s="9">
        <f t="shared" si="83"/>
        <v>0</v>
      </c>
      <c r="AE43" s="7"/>
      <c r="AH43" s="26"/>
      <c r="AI43" s="55">
        <v>3</v>
      </c>
      <c r="AJ43" s="55">
        <v>0.24</v>
      </c>
      <c r="AK43" s="38">
        <f>IF(AI43+0.12-AM43-0.16&gt;=0.4,AI43+0.12-AM43-0.16,0.4)</f>
        <v>1.0400000000000003</v>
      </c>
      <c r="AL43" s="62">
        <v>0.16</v>
      </c>
      <c r="AM43" s="38">
        <v>1.92</v>
      </c>
      <c r="AN43" s="38">
        <f>AI43-AK43-1.2-0.12</f>
        <v>0.63999999999999979</v>
      </c>
      <c r="AO43" s="38">
        <v>2.64</v>
      </c>
      <c r="AP43" s="38">
        <f>(3.68*3.08-2.68*2.08)</f>
        <v>5.76</v>
      </c>
      <c r="AQ43" s="63"/>
    </row>
    <row r="44" spans="1:44" ht="21.95" customHeight="1" x14ac:dyDescent="0.15">
      <c r="A44" s="58" t="s">
        <v>108</v>
      </c>
      <c r="B44" s="59"/>
      <c r="C44" s="7" t="s">
        <v>114</v>
      </c>
      <c r="D44" s="60">
        <f>0.76*B44</f>
        <v>0</v>
      </c>
      <c r="E44" s="60">
        <f>1.76*B44</f>
        <v>0</v>
      </c>
      <c r="F44" s="60">
        <f>IF(0.4&lt;=AK44&lt;=2,63.23*B44,74.49*B44)</f>
        <v>0</v>
      </c>
      <c r="G44" s="60">
        <v>0</v>
      </c>
      <c r="H44" s="60">
        <v>0</v>
      </c>
      <c r="I44" s="60">
        <f>B44*10</f>
        <v>0</v>
      </c>
      <c r="J44" s="60">
        <f>IF(AI44&lt;=4,B44*(115.8-10),B44*(154.2-10))</f>
        <v>0</v>
      </c>
      <c r="K44" s="60">
        <f>B44*2.79</f>
        <v>0</v>
      </c>
      <c r="L44" s="60">
        <f>21.64*B44</f>
        <v>0</v>
      </c>
      <c r="M44" s="60">
        <f t="shared" si="73"/>
        <v>0</v>
      </c>
      <c r="N44" s="60">
        <f t="shared" si="84"/>
        <v>1.94</v>
      </c>
      <c r="O44" s="60">
        <f t="shared" si="85"/>
        <v>1.6350000000000005</v>
      </c>
      <c r="P44" s="60">
        <f t="shared" si="74"/>
        <v>0</v>
      </c>
      <c r="Q44" s="60">
        <f t="shared" si="75"/>
        <v>0</v>
      </c>
      <c r="R44" s="61">
        <f t="shared" si="76"/>
        <v>0</v>
      </c>
      <c r="S44" s="60">
        <f t="shared" si="77"/>
        <v>0</v>
      </c>
      <c r="T44" s="60">
        <f t="shared" si="86"/>
        <v>0</v>
      </c>
      <c r="U44" s="60">
        <f t="shared" si="87"/>
        <v>0</v>
      </c>
      <c r="V44" s="61">
        <f t="shared" si="78"/>
        <v>0</v>
      </c>
      <c r="W44" s="60">
        <f>0.47*B44</f>
        <v>0</v>
      </c>
      <c r="X44" s="60">
        <v>0</v>
      </c>
      <c r="Y44" s="60">
        <f>IF(AND(AK44&gt;=0.8,AK44&lt;=2),48.86*B44,57.02*B44)</f>
        <v>0</v>
      </c>
      <c r="Z44" s="8">
        <f t="shared" si="79"/>
        <v>0</v>
      </c>
      <c r="AA44" s="8">
        <f t="shared" si="80"/>
        <v>0</v>
      </c>
      <c r="AB44" s="8">
        <f t="shared" si="81"/>
        <v>0</v>
      </c>
      <c r="AC44" s="8">
        <f t="shared" si="82"/>
        <v>0</v>
      </c>
      <c r="AD44" s="9">
        <f t="shared" si="83"/>
        <v>0</v>
      </c>
      <c r="AE44" s="7"/>
      <c r="AH44" s="26"/>
      <c r="AI44" s="55">
        <v>3.6</v>
      </c>
      <c r="AJ44" s="55">
        <v>0.24</v>
      </c>
      <c r="AK44" s="38">
        <f>IF(AI44+0.135-AM44-0.16&gt;=0.4,AI44+0.135-AM44-0.16,0.4)</f>
        <v>1.6350000000000005</v>
      </c>
      <c r="AL44" s="62">
        <v>0.16</v>
      </c>
      <c r="AM44" s="38">
        <v>1.94</v>
      </c>
      <c r="AN44" s="38">
        <f>AI44-AK44-1.35-0.135</f>
        <v>0.47999999999999954</v>
      </c>
      <c r="AO44" s="38">
        <v>2.64</v>
      </c>
      <c r="AP44" s="38">
        <f>(3.88*3.08-2.88*2.08)</f>
        <v>5.96</v>
      </c>
      <c r="AQ44" s="63"/>
    </row>
    <row r="45" spans="1:44" ht="21.95" customHeight="1" x14ac:dyDescent="0.15">
      <c r="A45" s="58" t="s">
        <v>108</v>
      </c>
      <c r="B45" s="59"/>
      <c r="C45" s="7" t="s">
        <v>115</v>
      </c>
      <c r="D45" s="60">
        <f>0.83*B45</f>
        <v>0</v>
      </c>
      <c r="E45" s="60">
        <f>1.93*B45</f>
        <v>0</v>
      </c>
      <c r="F45" s="60">
        <f>IF(0.4&lt;=AK45&lt;=2,68.38*B45,80.34*B45)</f>
        <v>0</v>
      </c>
      <c r="G45" s="60">
        <v>0</v>
      </c>
      <c r="H45" s="60">
        <v>0</v>
      </c>
      <c r="I45" s="60">
        <f>B45*11.7</f>
        <v>0</v>
      </c>
      <c r="J45" s="60">
        <f>IF(AI45&lt;=4,B45*(123.2-11.7),B45*(163.7-11.7))</f>
        <v>0</v>
      </c>
      <c r="K45" s="60">
        <f>B45*3.38</f>
        <v>0</v>
      </c>
      <c r="L45" s="60">
        <f>25.05*B45</f>
        <v>0</v>
      </c>
      <c r="M45" s="60">
        <f t="shared" si="73"/>
        <v>0</v>
      </c>
      <c r="N45" s="60">
        <f t="shared" si="84"/>
        <v>2.17</v>
      </c>
      <c r="O45" s="60">
        <f t="shared" si="85"/>
        <v>1.4200000000000002</v>
      </c>
      <c r="P45" s="60">
        <f t="shared" si="74"/>
        <v>0</v>
      </c>
      <c r="Q45" s="60">
        <f t="shared" si="75"/>
        <v>0</v>
      </c>
      <c r="R45" s="61">
        <f t="shared" si="76"/>
        <v>0</v>
      </c>
      <c r="S45" s="60">
        <f t="shared" si="77"/>
        <v>0</v>
      </c>
      <c r="T45" s="60">
        <f t="shared" si="86"/>
        <v>0</v>
      </c>
      <c r="U45" s="60">
        <f t="shared" si="87"/>
        <v>0</v>
      </c>
      <c r="V45" s="61">
        <f t="shared" si="78"/>
        <v>0</v>
      </c>
      <c r="W45" s="60">
        <f>0.54*B45</f>
        <v>0</v>
      </c>
      <c r="X45" s="60">
        <v>0</v>
      </c>
      <c r="Y45" s="60">
        <f>IF(AND(AK45&gt;=0.8,AK45&lt;=2),54.59*B45,63.78*B45)</f>
        <v>0</v>
      </c>
      <c r="Z45" s="8">
        <f t="shared" si="79"/>
        <v>0</v>
      </c>
      <c r="AA45" s="8">
        <f t="shared" si="80"/>
        <v>0</v>
      </c>
      <c r="AB45" s="8">
        <f t="shared" si="81"/>
        <v>0</v>
      </c>
      <c r="AC45" s="8">
        <f t="shared" si="82"/>
        <v>0</v>
      </c>
      <c r="AD45" s="9">
        <f t="shared" si="83"/>
        <v>0</v>
      </c>
      <c r="AE45" s="7"/>
      <c r="AH45" s="26"/>
      <c r="AI45" s="55">
        <v>3.6</v>
      </c>
      <c r="AJ45" s="55">
        <v>0.24</v>
      </c>
      <c r="AK45" s="38">
        <f>IF(AI45+0.15-AM45-0.16&gt;=0.4,AI45+0.15-AM45-0.16,0.4)</f>
        <v>1.4200000000000002</v>
      </c>
      <c r="AL45" s="62">
        <v>0.16</v>
      </c>
      <c r="AM45" s="38">
        <v>2.17</v>
      </c>
      <c r="AN45" s="38">
        <f>AI45-AK45-1.5-0.15</f>
        <v>0.52999999999999969</v>
      </c>
      <c r="AO45" s="38">
        <v>2.64</v>
      </c>
      <c r="AP45" s="38">
        <f>(4.18*3.08-3.18*2.08)</f>
        <v>6.2599999999999989</v>
      </c>
      <c r="AQ45" s="63"/>
    </row>
    <row r="46" spans="1:44" ht="21.95" hidden="1" customHeight="1" x14ac:dyDescent="0.15">
      <c r="A46" s="58" t="s">
        <v>108</v>
      </c>
      <c r="B46" s="59"/>
      <c r="C46" s="7" t="s">
        <v>116</v>
      </c>
      <c r="D46" s="60">
        <f>0.83*B46</f>
        <v>0</v>
      </c>
      <c r="E46" s="60">
        <f>1.93*B46</f>
        <v>0</v>
      </c>
      <c r="F46" s="60">
        <f>IF(0.4&lt;=AK46&lt;=2,68.38*B46,80.34*B46)</f>
        <v>0</v>
      </c>
      <c r="G46" s="60">
        <v>0</v>
      </c>
      <c r="H46" s="60">
        <v>0</v>
      </c>
      <c r="I46" s="60">
        <f>B46*11.7</f>
        <v>0</v>
      </c>
      <c r="J46" s="60">
        <f>IF(AI46&lt;=4,B46*(130.9-11.7),B46*(174.1-11.7))</f>
        <v>0</v>
      </c>
      <c r="K46" s="60">
        <f>B46*3.38</f>
        <v>0</v>
      </c>
      <c r="L46" s="60">
        <f>27.91*B46</f>
        <v>0</v>
      </c>
      <c r="M46" s="60">
        <f t="shared" si="73"/>
        <v>0</v>
      </c>
      <c r="N46" s="60">
        <f t="shared" si="84"/>
        <v>2.17</v>
      </c>
      <c r="O46" s="60">
        <f t="shared" si="85"/>
        <v>1.8350000000000002</v>
      </c>
      <c r="P46" s="60">
        <f t="shared" si="74"/>
        <v>0</v>
      </c>
      <c r="Q46" s="60">
        <f t="shared" si="75"/>
        <v>0</v>
      </c>
      <c r="R46" s="61">
        <f t="shared" si="76"/>
        <v>0</v>
      </c>
      <c r="S46" s="60">
        <f t="shared" si="77"/>
        <v>0</v>
      </c>
      <c r="T46" s="60">
        <f t="shared" ref="T46:T50" si="88">5.14*B46</f>
        <v>0</v>
      </c>
      <c r="U46" s="60">
        <f t="shared" ref="U46:U50" si="89">(31.2-5.14)*B46</f>
        <v>0</v>
      </c>
      <c r="V46" s="61">
        <f t="shared" si="78"/>
        <v>0</v>
      </c>
      <c r="W46" s="60">
        <f>0.54*B46</f>
        <v>0</v>
      </c>
      <c r="X46" s="60">
        <v>0</v>
      </c>
      <c r="Y46" s="60">
        <f>IF(AND(AK46&gt;=0.8,AK46&lt;=2),54.59*B46,63.78*B46)</f>
        <v>0</v>
      </c>
      <c r="Z46" s="8">
        <f t="shared" si="79"/>
        <v>0</v>
      </c>
      <c r="AA46" s="8">
        <f t="shared" si="80"/>
        <v>0</v>
      </c>
      <c r="AB46" s="8">
        <f t="shared" si="81"/>
        <v>0</v>
      </c>
      <c r="AC46" s="8">
        <f t="shared" si="82"/>
        <v>0</v>
      </c>
      <c r="AD46" s="9">
        <f t="shared" si="83"/>
        <v>0</v>
      </c>
      <c r="AE46" s="7"/>
      <c r="AH46" s="26"/>
      <c r="AI46" s="55">
        <v>4</v>
      </c>
      <c r="AJ46" s="55">
        <v>0.24</v>
      </c>
      <c r="AK46" s="38">
        <f>IF(AI46+0.165-AM46-0.16&gt;=0.4,AI46+0.165-AM46-0.16,0.4)</f>
        <v>1.8350000000000002</v>
      </c>
      <c r="AL46" s="62">
        <v>0.16</v>
      </c>
      <c r="AM46" s="38">
        <v>2.17</v>
      </c>
      <c r="AN46" s="38">
        <f>0.36+0.14</f>
        <v>0.5</v>
      </c>
      <c r="AO46" s="38">
        <v>2.64</v>
      </c>
      <c r="AP46" s="38">
        <f>(4.18*3.08-3.18*2.08)</f>
        <v>6.2599999999999989</v>
      </c>
      <c r="AQ46" s="63"/>
    </row>
    <row r="47" spans="1:44" ht="21.95" hidden="1" customHeight="1" x14ac:dyDescent="0.15">
      <c r="A47" s="58" t="s">
        <v>108</v>
      </c>
      <c r="B47" s="59"/>
      <c r="C47" s="7" t="s">
        <v>117</v>
      </c>
      <c r="D47" s="60">
        <f>0.88*B47</f>
        <v>0</v>
      </c>
      <c r="E47" s="60">
        <f>2.04*B47</f>
        <v>0</v>
      </c>
      <c r="F47" s="60">
        <f>IF(0.4&lt;=AK47&lt;=2,72.46*B47,85.13*B47)</f>
        <v>0</v>
      </c>
      <c r="G47" s="60">
        <v>0</v>
      </c>
      <c r="H47" s="60">
        <v>0</v>
      </c>
      <c r="I47" s="60">
        <f>B47*13.3</f>
        <v>0</v>
      </c>
      <c r="J47" s="60">
        <f>IF(AI47&lt;=4,B47*(140.2-13.3),B47*(186.3-13.3))</f>
        <v>0</v>
      </c>
      <c r="K47" s="60">
        <f>B47*5.83</f>
        <v>0</v>
      </c>
      <c r="L47" s="60">
        <f>31.94*B47</f>
        <v>0</v>
      </c>
      <c r="M47" s="60">
        <f t="shared" si="73"/>
        <v>0</v>
      </c>
      <c r="N47" s="60">
        <f t="shared" si="84"/>
        <v>2.41</v>
      </c>
      <c r="O47" s="60">
        <f t="shared" si="85"/>
        <v>1.6099999999999997</v>
      </c>
      <c r="P47" s="60">
        <f t="shared" si="74"/>
        <v>0</v>
      </c>
      <c r="Q47" s="60">
        <f t="shared" si="75"/>
        <v>0</v>
      </c>
      <c r="R47" s="61">
        <f t="shared" si="76"/>
        <v>0</v>
      </c>
      <c r="S47" s="60">
        <f t="shared" si="77"/>
        <v>0</v>
      </c>
      <c r="T47" s="60">
        <f t="shared" si="88"/>
        <v>0</v>
      </c>
      <c r="U47" s="60">
        <f t="shared" si="89"/>
        <v>0</v>
      </c>
      <c r="V47" s="61">
        <f t="shared" si="78"/>
        <v>0</v>
      </c>
      <c r="W47" s="60">
        <f>IF(AND(AK47&gt;=0.8,AK47&lt;=2),0.52*B47,0.55*B47)</f>
        <v>0</v>
      </c>
      <c r="X47" s="60">
        <v>0</v>
      </c>
      <c r="Y47" s="60">
        <f>IF(AND(AK47&gt;=0.4,AK47&lt;=2),56.12*B47,66.2*B47)</f>
        <v>0</v>
      </c>
      <c r="Z47" s="8">
        <f t="shared" si="79"/>
        <v>0</v>
      </c>
      <c r="AA47" s="8">
        <f t="shared" si="80"/>
        <v>0</v>
      </c>
      <c r="AB47" s="8">
        <f t="shared" si="81"/>
        <v>0</v>
      </c>
      <c r="AC47" s="8">
        <f t="shared" si="82"/>
        <v>0</v>
      </c>
      <c r="AD47" s="9">
        <f t="shared" si="83"/>
        <v>0</v>
      </c>
      <c r="AE47" s="7"/>
      <c r="AH47" s="26"/>
      <c r="AI47" s="55">
        <v>4</v>
      </c>
      <c r="AJ47" s="55">
        <v>0.24</v>
      </c>
      <c r="AK47" s="38">
        <f>IF(AI47+0.18-AM47-0.16&gt;=0.4,AI47+0.18-AM47-0.16,0.4)</f>
        <v>1.6099999999999997</v>
      </c>
      <c r="AL47" s="62">
        <v>0.16</v>
      </c>
      <c r="AM47" s="38">
        <v>2.41</v>
      </c>
      <c r="AN47" s="38">
        <f t="shared" ref="AN47:AN50" si="90">0.36+0.14</f>
        <v>0.5</v>
      </c>
      <c r="AO47" s="38">
        <v>2.64</v>
      </c>
      <c r="AP47" s="38">
        <f>(4.38*3.08-3.38*2.08)</f>
        <v>6.4599999999999991</v>
      </c>
      <c r="AQ47" s="63"/>
    </row>
    <row r="48" spans="1:44" ht="21" hidden="1" customHeight="1" x14ac:dyDescent="0.15">
      <c r="A48" s="58" t="s">
        <v>108</v>
      </c>
      <c r="B48" s="59"/>
      <c r="C48" s="7" t="s">
        <v>118</v>
      </c>
      <c r="D48" s="60">
        <f>0.92*B48</f>
        <v>0</v>
      </c>
      <c r="E48" s="60">
        <f>2.15*B48</f>
        <v>0</v>
      </c>
      <c r="F48" s="60">
        <f>IF(0.4&lt;=AK48&lt;=2,89.92*B48,105.39*B48)</f>
        <v>0</v>
      </c>
      <c r="G48" s="60">
        <v>0</v>
      </c>
      <c r="H48" s="60">
        <v>0</v>
      </c>
      <c r="I48" s="60">
        <f>B48*15</f>
        <v>0</v>
      </c>
      <c r="J48" s="60">
        <f>IF(AI48&lt;=4,B48*(213.9-15),B48*(274.7-15))</f>
        <v>0</v>
      </c>
      <c r="K48" s="60">
        <f>B48*6.82</f>
        <v>0</v>
      </c>
      <c r="L48" s="60">
        <f>35.86*B48</f>
        <v>0</v>
      </c>
      <c r="M48" s="60">
        <f t="shared" si="73"/>
        <v>0</v>
      </c>
      <c r="N48" s="60">
        <f t="shared" si="84"/>
        <v>2.75</v>
      </c>
      <c r="O48" s="60">
        <f t="shared" si="85"/>
        <v>1.2900000000000003</v>
      </c>
      <c r="P48" s="60">
        <f t="shared" si="74"/>
        <v>0</v>
      </c>
      <c r="Q48" s="60">
        <f t="shared" si="75"/>
        <v>0</v>
      </c>
      <c r="R48" s="61">
        <f t="shared" si="76"/>
        <v>0</v>
      </c>
      <c r="S48" s="60">
        <f t="shared" si="77"/>
        <v>0</v>
      </c>
      <c r="T48" s="60">
        <f t="shared" si="88"/>
        <v>0</v>
      </c>
      <c r="U48" s="60">
        <f t="shared" si="89"/>
        <v>0</v>
      </c>
      <c r="V48" s="61">
        <f t="shared" si="78"/>
        <v>0</v>
      </c>
      <c r="W48" s="60">
        <f>IF(AND(AK48&gt;=0.8,AK48&lt;=2),0.55*B48,0.59*B48)</f>
        <v>0</v>
      </c>
      <c r="X48" s="60">
        <v>0</v>
      </c>
      <c r="Y48" s="60">
        <f>IF(AND(AK48&gt;=0.4,AK48&lt;=2),58.57*B48,70.45*B48)</f>
        <v>0</v>
      </c>
      <c r="Z48" s="8">
        <f t="shared" si="79"/>
        <v>0</v>
      </c>
      <c r="AA48" s="8">
        <f t="shared" si="80"/>
        <v>0</v>
      </c>
      <c r="AB48" s="8">
        <f t="shared" si="81"/>
        <v>0</v>
      </c>
      <c r="AC48" s="8">
        <f t="shared" si="82"/>
        <v>0</v>
      </c>
      <c r="AD48" s="9">
        <f t="shared" si="83"/>
        <v>0</v>
      </c>
      <c r="AE48" s="7"/>
      <c r="AH48" s="26"/>
      <c r="AI48" s="55">
        <v>4</v>
      </c>
      <c r="AJ48" s="55">
        <v>0.24</v>
      </c>
      <c r="AK48" s="38">
        <f>IF(AI48+0.2-AM48-0.16&gt;=0.4,AI48+0.2-AM48-0.16,0.4)</f>
        <v>1.2900000000000003</v>
      </c>
      <c r="AL48" s="62">
        <v>0.16</v>
      </c>
      <c r="AM48" s="38">
        <v>2.75</v>
      </c>
      <c r="AN48" s="38">
        <f t="shared" si="90"/>
        <v>0.5</v>
      </c>
      <c r="AO48" s="38">
        <v>2.64</v>
      </c>
      <c r="AP48" s="38">
        <f>(4.58*3.08-3.58*2.08)</f>
        <v>6.66</v>
      </c>
      <c r="AQ48" s="63"/>
    </row>
    <row r="49" spans="1:44" ht="21" hidden="1" customHeight="1" x14ac:dyDescent="0.15">
      <c r="A49" s="58" t="s">
        <v>108</v>
      </c>
      <c r="B49" s="59"/>
      <c r="C49" s="7" t="s">
        <v>119</v>
      </c>
      <c r="D49" s="60">
        <f>0.99*B49</f>
        <v>0</v>
      </c>
      <c r="E49" s="60">
        <f>2.33*B49</f>
        <v>0</v>
      </c>
      <c r="F49" s="60">
        <f>IF(0.4&lt;=AK49&lt;=2,98.43*B49,115.53*B49)</f>
        <v>0</v>
      </c>
      <c r="G49" s="60">
        <v>0</v>
      </c>
      <c r="H49" s="60">
        <v>0</v>
      </c>
      <c r="I49" s="60">
        <f>B49*15</f>
        <v>0</v>
      </c>
      <c r="J49" s="60">
        <f>IF(AI49&lt;=4,B49*(213.9-15),B49*(274.7-15))</f>
        <v>0</v>
      </c>
      <c r="K49" s="60">
        <f>B49*7.86</f>
        <v>0</v>
      </c>
      <c r="L49" s="60">
        <f>38.92*B49</f>
        <v>0</v>
      </c>
      <c r="M49" s="60">
        <f t="shared" si="73"/>
        <v>0</v>
      </c>
      <c r="N49" s="60">
        <f t="shared" si="84"/>
        <v>2.99</v>
      </c>
      <c r="O49" s="60">
        <f t="shared" si="85"/>
        <v>1.0699999999999996</v>
      </c>
      <c r="P49" s="60">
        <f t="shared" si="74"/>
        <v>0</v>
      </c>
      <c r="Q49" s="60">
        <f t="shared" si="75"/>
        <v>0</v>
      </c>
      <c r="R49" s="61">
        <f t="shared" si="76"/>
        <v>0</v>
      </c>
      <c r="S49" s="60">
        <f t="shared" si="77"/>
        <v>0</v>
      </c>
      <c r="T49" s="60">
        <f t="shared" si="88"/>
        <v>0</v>
      </c>
      <c r="U49" s="60">
        <f t="shared" si="89"/>
        <v>0</v>
      </c>
      <c r="V49" s="61">
        <f t="shared" si="78"/>
        <v>0</v>
      </c>
      <c r="W49" s="60">
        <f>IF(AND(AK49&gt;=0.8,AK49&lt;=2),0.61*B49,0.64*B49)</f>
        <v>0</v>
      </c>
      <c r="X49" s="60">
        <v>0</v>
      </c>
      <c r="Y49" s="60">
        <f>IF(AND(AK49&gt;=0.4,AK49&lt;=2),64.49*B49,77.26*B49)</f>
        <v>0</v>
      </c>
      <c r="Z49" s="8">
        <f t="shared" si="79"/>
        <v>0</v>
      </c>
      <c r="AA49" s="8">
        <f t="shared" si="80"/>
        <v>0</v>
      </c>
      <c r="AB49" s="8">
        <f t="shared" si="81"/>
        <v>0</v>
      </c>
      <c r="AC49" s="8">
        <f t="shared" si="82"/>
        <v>0</v>
      </c>
      <c r="AD49" s="9">
        <f t="shared" si="83"/>
        <v>0</v>
      </c>
      <c r="AE49" s="7"/>
      <c r="AH49" s="26"/>
      <c r="AI49" s="55">
        <v>4</v>
      </c>
      <c r="AJ49" s="55">
        <v>0.24</v>
      </c>
      <c r="AK49" s="38">
        <f>IF(AI49+0.22-AM49-0.16&gt;=0.4,AI49+0.22-AM49-0.16,0.4)</f>
        <v>1.0699999999999996</v>
      </c>
      <c r="AL49" s="62">
        <v>0.16</v>
      </c>
      <c r="AM49" s="38">
        <v>2.99</v>
      </c>
      <c r="AN49" s="38">
        <f t="shared" si="90"/>
        <v>0.5</v>
      </c>
      <c r="AO49" s="38">
        <v>2.64</v>
      </c>
      <c r="AP49" s="38">
        <f>(4.88*3.08-3.88*2.08)</f>
        <v>6.9600000000000009</v>
      </c>
      <c r="AQ49" s="63"/>
    </row>
    <row r="50" spans="1:44" ht="21" hidden="1" customHeight="1" x14ac:dyDescent="0.15">
      <c r="A50" s="58" t="s">
        <v>108</v>
      </c>
      <c r="B50" s="59"/>
      <c r="C50" s="7" t="s">
        <v>120</v>
      </c>
      <c r="D50" s="60">
        <f>1.04*B50</f>
        <v>0</v>
      </c>
      <c r="E50" s="60">
        <f>2.44*B50</f>
        <v>0</v>
      </c>
      <c r="F50" s="60">
        <f>103.22*B50</f>
        <v>0</v>
      </c>
      <c r="G50" s="60">
        <v>0</v>
      </c>
      <c r="H50" s="60">
        <v>0</v>
      </c>
      <c r="I50" s="60">
        <f>B50*15</f>
        <v>0</v>
      </c>
      <c r="J50" s="60">
        <f>IF(AI50&lt;=4,B50*(213.9-15),B50*(274.7-15))</f>
        <v>0</v>
      </c>
      <c r="K50" s="60">
        <f>B50*8.59</f>
        <v>0</v>
      </c>
      <c r="L50" s="60">
        <f>43.1*B50</f>
        <v>0</v>
      </c>
      <c r="M50" s="60">
        <f t="shared" si="73"/>
        <v>0</v>
      </c>
      <c r="N50" s="60">
        <f t="shared" si="84"/>
        <v>3.23</v>
      </c>
      <c r="O50" s="60">
        <f t="shared" si="85"/>
        <v>0.8500000000000002</v>
      </c>
      <c r="P50" s="60">
        <f t="shared" si="74"/>
        <v>0</v>
      </c>
      <c r="Q50" s="60">
        <f t="shared" si="75"/>
        <v>0</v>
      </c>
      <c r="R50" s="61">
        <f t="shared" si="76"/>
        <v>0</v>
      </c>
      <c r="S50" s="60">
        <f t="shared" si="77"/>
        <v>0</v>
      </c>
      <c r="T50" s="60">
        <f t="shared" si="88"/>
        <v>0</v>
      </c>
      <c r="U50" s="60">
        <f t="shared" si="89"/>
        <v>0</v>
      </c>
      <c r="V50" s="61">
        <f t="shared" si="78"/>
        <v>0</v>
      </c>
      <c r="W50" s="60">
        <f>IF(AND(AK50&gt;=0.8,AK50&lt;=2),0.64*B50,0.68*B50)</f>
        <v>0</v>
      </c>
      <c r="X50" s="60">
        <v>0</v>
      </c>
      <c r="Y50" s="60">
        <f>IF(AND(AK50&gt;=0.4,AK50&lt;=2),68.53*B50,82.19*B50)</f>
        <v>0</v>
      </c>
      <c r="Z50" s="8">
        <f t="shared" si="79"/>
        <v>0</v>
      </c>
      <c r="AA50" s="8">
        <f t="shared" si="80"/>
        <v>0</v>
      </c>
      <c r="AB50" s="8">
        <f t="shared" si="81"/>
        <v>0</v>
      </c>
      <c r="AC50" s="8">
        <f t="shared" si="82"/>
        <v>0</v>
      </c>
      <c r="AD50" s="9">
        <f t="shared" si="83"/>
        <v>0</v>
      </c>
      <c r="AE50" s="7"/>
      <c r="AH50" s="26"/>
      <c r="AI50" s="55">
        <v>4</v>
      </c>
      <c r="AJ50" s="55">
        <v>0.24</v>
      </c>
      <c r="AK50" s="38">
        <f>IF(AI50+0.24-AM50-0.16&gt;=0.4,AI50+0.24-AM50-0.16,0.4)</f>
        <v>0.8500000000000002</v>
      </c>
      <c r="AL50" s="62">
        <v>0.16</v>
      </c>
      <c r="AM50" s="38">
        <v>3.23</v>
      </c>
      <c r="AN50" s="38">
        <f t="shared" si="90"/>
        <v>0.5</v>
      </c>
      <c r="AO50" s="38">
        <v>2.64</v>
      </c>
      <c r="AP50" s="38">
        <f>(5.08*3.08-4.08*2.08)</f>
        <v>7.16</v>
      </c>
      <c r="AQ50" s="63"/>
    </row>
    <row r="51" spans="1:44" ht="21" customHeight="1" x14ac:dyDescent="0.15">
      <c r="A51" s="58" t="s">
        <v>27</v>
      </c>
      <c r="B51" s="59"/>
      <c r="C51" s="7" t="s">
        <v>82</v>
      </c>
      <c r="D51" s="60">
        <f t="shared" ref="D51:J51" si="91">SUM(D41:D50)</f>
        <v>0</v>
      </c>
      <c r="E51" s="60">
        <f t="shared" si="91"/>
        <v>0</v>
      </c>
      <c r="F51" s="60">
        <f t="shared" si="91"/>
        <v>0</v>
      </c>
      <c r="G51" s="60">
        <f t="shared" si="91"/>
        <v>0</v>
      </c>
      <c r="H51" s="60">
        <f t="shared" si="91"/>
        <v>0</v>
      </c>
      <c r="I51" s="60">
        <f t="shared" si="91"/>
        <v>0</v>
      </c>
      <c r="J51" s="60">
        <f t="shared" si="91"/>
        <v>0</v>
      </c>
      <c r="K51" s="60">
        <f>SUM(K41:K50)</f>
        <v>0</v>
      </c>
      <c r="L51" s="60">
        <f t="shared" ref="L51:AD51" si="92">SUM(L41:L50)</f>
        <v>0</v>
      </c>
      <c r="M51" s="60">
        <f t="shared" si="92"/>
        <v>0</v>
      </c>
      <c r="N51" s="60">
        <f t="shared" si="92"/>
        <v>23.360000000000003</v>
      </c>
      <c r="O51" s="60">
        <f t="shared" si="92"/>
        <v>13.21</v>
      </c>
      <c r="P51" s="60">
        <f t="shared" si="92"/>
        <v>0</v>
      </c>
      <c r="Q51" s="60">
        <f t="shared" si="92"/>
        <v>0</v>
      </c>
      <c r="R51" s="61">
        <f t="shared" si="92"/>
        <v>0</v>
      </c>
      <c r="S51" s="60">
        <f t="shared" si="92"/>
        <v>0</v>
      </c>
      <c r="T51" s="60">
        <f t="shared" si="92"/>
        <v>0</v>
      </c>
      <c r="U51" s="60">
        <f t="shared" si="92"/>
        <v>0</v>
      </c>
      <c r="V51" s="61">
        <f t="shared" si="92"/>
        <v>0</v>
      </c>
      <c r="W51" s="60">
        <f t="shared" si="92"/>
        <v>0</v>
      </c>
      <c r="X51" s="60">
        <f t="shared" si="92"/>
        <v>0</v>
      </c>
      <c r="Y51" s="60">
        <f t="shared" si="92"/>
        <v>0</v>
      </c>
      <c r="Z51" s="8">
        <f t="shared" si="92"/>
        <v>0</v>
      </c>
      <c r="AA51" s="8">
        <f t="shared" si="92"/>
        <v>0</v>
      </c>
      <c r="AB51" s="8">
        <f t="shared" si="92"/>
        <v>0</v>
      </c>
      <c r="AC51" s="8">
        <f t="shared" si="92"/>
        <v>0</v>
      </c>
      <c r="AD51" s="9">
        <f t="shared" si="92"/>
        <v>0</v>
      </c>
      <c r="AE51" s="7"/>
      <c r="AH51" s="26"/>
      <c r="AI51" s="55"/>
      <c r="AJ51" s="55"/>
      <c r="AK51" s="38"/>
      <c r="AL51" s="62"/>
      <c r="AM51" s="38"/>
      <c r="AN51" s="38"/>
      <c r="AO51" s="38"/>
      <c r="AP51" s="38"/>
      <c r="AQ51" s="63"/>
    </row>
    <row r="52" spans="1:44" ht="18" hidden="1" customHeight="1" x14ac:dyDescent="0.15">
      <c r="A52" s="383" t="s">
        <v>83</v>
      </c>
      <c r="B52" s="384"/>
      <c r="C52" s="384"/>
      <c r="D52" s="384"/>
      <c r="E52" s="384"/>
      <c r="F52" s="384"/>
      <c r="G52" s="384"/>
      <c r="H52" s="384"/>
      <c r="I52" s="384"/>
      <c r="J52" s="384"/>
      <c r="K52" s="384"/>
      <c r="L52" s="384"/>
      <c r="M52" s="384"/>
      <c r="N52" s="384"/>
      <c r="O52" s="384"/>
      <c r="P52" s="384"/>
      <c r="Q52" s="384"/>
      <c r="R52" s="384"/>
      <c r="S52" s="384"/>
      <c r="T52" s="384"/>
      <c r="U52" s="384"/>
      <c r="V52" s="384"/>
      <c r="W52" s="384"/>
      <c r="X52" s="384"/>
      <c r="Y52" s="384"/>
      <c r="Z52" s="384"/>
      <c r="AA52" s="384"/>
      <c r="AB52" s="384"/>
      <c r="AC52" s="384"/>
      <c r="AD52" s="384"/>
      <c r="AE52" s="384"/>
      <c r="AI52" s="55" t="s">
        <v>73</v>
      </c>
      <c r="AJ52" s="55" t="s">
        <v>74</v>
      </c>
      <c r="AK52" s="38" t="s">
        <v>75</v>
      </c>
      <c r="AL52" s="62"/>
      <c r="AM52" s="38" t="s">
        <v>76</v>
      </c>
      <c r="AN52" s="38" t="s">
        <v>77</v>
      </c>
      <c r="AO52" s="38" t="s">
        <v>78</v>
      </c>
      <c r="AP52" s="38" t="s">
        <v>79</v>
      </c>
      <c r="AQ52" s="10"/>
      <c r="AR52" s="10"/>
    </row>
    <row r="53" spans="1:44" ht="21.95" hidden="1" customHeight="1" x14ac:dyDescent="0.15">
      <c r="A53" s="64" t="s">
        <v>102</v>
      </c>
      <c r="B53" s="59"/>
      <c r="C53" s="61" t="s">
        <v>84</v>
      </c>
      <c r="D53" s="61"/>
      <c r="E53" s="61"/>
      <c r="F53" s="11">
        <f>0.44*B53</f>
        <v>0</v>
      </c>
      <c r="G53" s="11">
        <f>1*B53</f>
        <v>0</v>
      </c>
      <c r="H53" s="11">
        <f>1.5*B53</f>
        <v>0</v>
      </c>
      <c r="I53" s="11">
        <v>0</v>
      </c>
      <c r="J53" s="11">
        <f>55.54*B53</f>
        <v>0</v>
      </c>
      <c r="K53" s="11">
        <f>AM53*0.75*B53</f>
        <v>0</v>
      </c>
      <c r="L53" s="11"/>
      <c r="M53" s="11">
        <f>0.4*B53*AK53</f>
        <v>0</v>
      </c>
      <c r="N53" s="60">
        <f t="shared" ref="N53:N57" si="93">AM53</f>
        <v>2.2399999999999998</v>
      </c>
      <c r="O53" s="60">
        <f t="shared" ref="O53:O57" si="94">AK53</f>
        <v>1.6500000000000004</v>
      </c>
      <c r="P53" s="60">
        <f>0.253*0.1*B53</f>
        <v>0</v>
      </c>
      <c r="Q53" s="60">
        <f>2.53*0.395*B53</f>
        <v>0</v>
      </c>
      <c r="R53" s="8">
        <f>B53</f>
        <v>0</v>
      </c>
      <c r="S53" s="60">
        <f>0.167*B53</f>
        <v>0</v>
      </c>
      <c r="T53" s="60">
        <f>5.14*B53</f>
        <v>0</v>
      </c>
      <c r="U53" s="60">
        <f>(31.2-5.14)*B53</f>
        <v>0</v>
      </c>
      <c r="V53" s="61">
        <f>B53</f>
        <v>0</v>
      </c>
      <c r="W53" s="11">
        <f>0.16*B53</f>
        <v>0</v>
      </c>
      <c r="X53" s="11">
        <v>0</v>
      </c>
      <c r="Y53" s="11">
        <f>20.69*B53</f>
        <v>0</v>
      </c>
      <c r="Z53" s="8">
        <f>AI53/0.37*B53</f>
        <v>0</v>
      </c>
      <c r="AA53" s="8">
        <f>B53*1</f>
        <v>0</v>
      </c>
      <c r="AB53" s="8">
        <f t="shared" ref="AB53:AB57" si="95">AA53</f>
        <v>0</v>
      </c>
      <c r="AC53" s="8">
        <f>8*B53</f>
        <v>0</v>
      </c>
      <c r="AD53" s="9">
        <f>IF(AK53&gt;=AJ53,((AK53-AJ53)*AO53+AN53*AP53)*B53,((AN53+AK53-AJ53)*AP53)*B53)</f>
        <v>0</v>
      </c>
      <c r="AE53" s="14"/>
      <c r="AF53" s="12"/>
      <c r="AG53" s="12"/>
      <c r="AH53" s="27"/>
      <c r="AI53" s="55">
        <v>4</v>
      </c>
      <c r="AJ53" s="55">
        <v>0.24</v>
      </c>
      <c r="AK53" s="38">
        <f>IF(AI53-1.8-0.4-0.15&gt;=0.4,AI53-1.8-0.4-0.15,0.4)</f>
        <v>1.6500000000000004</v>
      </c>
      <c r="AL53" s="62"/>
      <c r="AM53" s="38">
        <f>AI53-AK53-0.15+0.04</f>
        <v>2.2399999999999998</v>
      </c>
      <c r="AN53" s="38">
        <f>AI53-AK53-0.4-0.04</f>
        <v>1.9099999999999997</v>
      </c>
      <c r="AO53" s="38">
        <v>2.4</v>
      </c>
      <c r="AP53" s="38">
        <f>3.14*2.4*2.4/4-3.14*1.4*1.4/4</f>
        <v>2.9829999999999997</v>
      </c>
      <c r="AQ53" s="13"/>
      <c r="AR53" s="13"/>
    </row>
    <row r="54" spans="1:44" ht="21.95" hidden="1" customHeight="1" x14ac:dyDescent="0.15">
      <c r="A54" s="64" t="s">
        <v>102</v>
      </c>
      <c r="B54" s="59"/>
      <c r="C54" s="61" t="s">
        <v>85</v>
      </c>
      <c r="D54" s="61"/>
      <c r="E54" s="61"/>
      <c r="F54" s="11">
        <f>0.44*B54</f>
        <v>0</v>
      </c>
      <c r="G54" s="11">
        <f>1*B54</f>
        <v>0</v>
      </c>
      <c r="H54" s="11">
        <f>1.5*B54</f>
        <v>0</v>
      </c>
      <c r="I54" s="11">
        <v>0</v>
      </c>
      <c r="J54" s="11">
        <f>55.54*B54</f>
        <v>0</v>
      </c>
      <c r="K54" s="11">
        <f>AM54*0.75*B54</f>
        <v>0</v>
      </c>
      <c r="L54" s="11"/>
      <c r="M54" s="11">
        <f>0.4*B54*AK54</f>
        <v>0</v>
      </c>
      <c r="N54" s="60">
        <f t="shared" si="93"/>
        <v>2.3499999999999996</v>
      </c>
      <c r="O54" s="60">
        <f t="shared" si="94"/>
        <v>1.5500000000000003</v>
      </c>
      <c r="P54" s="60">
        <f>0.253*0.1*B54</f>
        <v>0</v>
      </c>
      <c r="Q54" s="60">
        <f>2.53*0.395*B54</f>
        <v>0</v>
      </c>
      <c r="R54" s="8">
        <f>B54</f>
        <v>0</v>
      </c>
      <c r="S54" s="60">
        <f>0.167*B54</f>
        <v>0</v>
      </c>
      <c r="T54" s="60">
        <f>5.14*B54</f>
        <v>0</v>
      </c>
      <c r="U54" s="60">
        <f>(31.2-5.14)*B54</f>
        <v>0</v>
      </c>
      <c r="V54" s="61">
        <f>B54</f>
        <v>0</v>
      </c>
      <c r="W54" s="11">
        <f>0.16*B54</f>
        <v>0</v>
      </c>
      <c r="X54" s="11">
        <v>0</v>
      </c>
      <c r="Y54" s="11">
        <f>20.69*B54</f>
        <v>0</v>
      </c>
      <c r="Z54" s="8">
        <f>4/0.37*B54</f>
        <v>0</v>
      </c>
      <c r="AA54" s="8">
        <f>B54*1</f>
        <v>0</v>
      </c>
      <c r="AB54" s="8">
        <f t="shared" si="95"/>
        <v>0</v>
      </c>
      <c r="AC54" s="8">
        <f>8*B54</f>
        <v>0</v>
      </c>
      <c r="AD54" s="9">
        <f>IF(AK54&gt;=AJ54,((AK54-AJ54)*AO54+AN54*AP54)*B54,((AN54+AK54-AJ54)*AP54)*B54)</f>
        <v>0</v>
      </c>
      <c r="AE54" s="14"/>
      <c r="AF54" s="12"/>
      <c r="AG54" s="12"/>
      <c r="AH54" s="27"/>
      <c r="AI54" s="55">
        <v>4</v>
      </c>
      <c r="AJ54" s="55">
        <v>0.24</v>
      </c>
      <c r="AK54" s="38">
        <f>IF(AI54-1.8-0.5-0.15&gt;=0.4,AI54-1.8-0.5-0.15,0.4)</f>
        <v>1.5500000000000003</v>
      </c>
      <c r="AL54" s="62"/>
      <c r="AM54" s="38">
        <f>AI54-AK54-0.15+0.05</f>
        <v>2.3499999999999996</v>
      </c>
      <c r="AN54" s="38">
        <f>AI54-AK54-0.5-0.05</f>
        <v>1.8999999999999997</v>
      </c>
      <c r="AO54" s="38">
        <v>2.4</v>
      </c>
      <c r="AP54" s="38">
        <f>3.14*2.4*2.4/4-3.14*1.4*1.4/4</f>
        <v>2.9829999999999997</v>
      </c>
      <c r="AQ54" s="13"/>
      <c r="AR54" s="13"/>
    </row>
    <row r="55" spans="1:44" ht="21.95" hidden="1" customHeight="1" x14ac:dyDescent="0.15">
      <c r="A55" s="64" t="s">
        <v>102</v>
      </c>
      <c r="B55" s="59"/>
      <c r="C55" s="61" t="s">
        <v>86</v>
      </c>
      <c r="D55" s="61"/>
      <c r="E55" s="61"/>
      <c r="F55" s="11">
        <f>0.59*B55</f>
        <v>0</v>
      </c>
      <c r="G55" s="11">
        <f>1*B55</f>
        <v>0</v>
      </c>
      <c r="H55" s="11">
        <f>3*B55</f>
        <v>0</v>
      </c>
      <c r="I55" s="11">
        <v>0</v>
      </c>
      <c r="J55" s="11">
        <f>70.28*B55</f>
        <v>0</v>
      </c>
      <c r="K55" s="11">
        <f>AM55*0.91*B55</f>
        <v>0</v>
      </c>
      <c r="L55" s="11"/>
      <c r="M55" s="11">
        <f>0.4*B55*AK55</f>
        <v>0</v>
      </c>
      <c r="N55" s="60">
        <f t="shared" si="93"/>
        <v>2.46</v>
      </c>
      <c r="O55" s="60">
        <f t="shared" si="94"/>
        <v>0.44999999999999996</v>
      </c>
      <c r="P55" s="60">
        <f>0.253*0.1*B55</f>
        <v>0</v>
      </c>
      <c r="Q55" s="60">
        <f>2.53*0.395*B55</f>
        <v>0</v>
      </c>
      <c r="R55" s="8">
        <f>B55</f>
        <v>0</v>
      </c>
      <c r="S55" s="60">
        <f>0.167*B55</f>
        <v>0</v>
      </c>
      <c r="T55" s="60">
        <f>5.14*B55</f>
        <v>0</v>
      </c>
      <c r="U55" s="60">
        <f>(31.2-5.14)*B55</f>
        <v>0</v>
      </c>
      <c r="V55" s="61">
        <f>B55</f>
        <v>0</v>
      </c>
      <c r="W55" s="11">
        <f>0.25*B55</f>
        <v>0</v>
      </c>
      <c r="X55" s="11">
        <v>0</v>
      </c>
      <c r="Y55" s="11">
        <f>32.69*B55</f>
        <v>0</v>
      </c>
      <c r="Z55" s="8">
        <f>4/0.37*B55</f>
        <v>0</v>
      </c>
      <c r="AA55" s="8">
        <f>B55*1</f>
        <v>0</v>
      </c>
      <c r="AB55" s="8">
        <f t="shared" si="95"/>
        <v>0</v>
      </c>
      <c r="AC55" s="8">
        <f>8*B55</f>
        <v>0</v>
      </c>
      <c r="AD55" s="9">
        <f>IF(AK55&gt;=AJ55,((AK55-AJ55)*AO55+AN55*AP55)*B55,((AN55+AK55-AJ55)*AP55)*B55)</f>
        <v>0</v>
      </c>
      <c r="AE55" s="14"/>
      <c r="AF55" s="12"/>
      <c r="AG55" s="12"/>
      <c r="AH55" s="27"/>
      <c r="AI55" s="55">
        <v>3</v>
      </c>
      <c r="AJ55" s="55">
        <v>0.24</v>
      </c>
      <c r="AK55" s="38">
        <f>IF(AI55-1.8-0.6-0.15&gt;=0.4,AI55-1.8-0.6-0.15,0.4)</f>
        <v>0.44999999999999996</v>
      </c>
      <c r="AL55" s="62"/>
      <c r="AM55" s="38">
        <f>AI55-AK55-0.15+0.06</f>
        <v>2.46</v>
      </c>
      <c r="AN55" s="38">
        <f>AI55-AK55-0.6-0.06</f>
        <v>1.8899999999999997</v>
      </c>
      <c r="AO55" s="38">
        <v>2.4</v>
      </c>
      <c r="AP55" s="38">
        <f>3.14*2.65*2.65/4-3.14*1.65*1.65/4</f>
        <v>3.3754999999999993</v>
      </c>
      <c r="AQ55" s="13"/>
      <c r="AR55" s="13"/>
    </row>
    <row r="56" spans="1:44" ht="21.95" hidden="1" customHeight="1" x14ac:dyDescent="0.15">
      <c r="A56" s="64" t="s">
        <v>102</v>
      </c>
      <c r="B56" s="59"/>
      <c r="C56" s="61" t="s">
        <v>87</v>
      </c>
      <c r="D56" s="61"/>
      <c r="E56" s="61"/>
      <c r="F56" s="11">
        <f>0.62*B56</f>
        <v>0</v>
      </c>
      <c r="G56" s="11">
        <f>1*B56</f>
        <v>0</v>
      </c>
      <c r="H56" s="11">
        <f>4.3*B56</f>
        <v>0</v>
      </c>
      <c r="I56" s="11">
        <v>0</v>
      </c>
      <c r="J56" s="11">
        <f>81*B56</f>
        <v>0</v>
      </c>
      <c r="K56" s="11">
        <f>AM56*1.07*B56</f>
        <v>0</v>
      </c>
      <c r="L56" s="11"/>
      <c r="M56" s="11">
        <f>0.4*B56*AK56</f>
        <v>0</v>
      </c>
      <c r="N56" s="60">
        <f t="shared" si="93"/>
        <v>2.68</v>
      </c>
      <c r="O56" s="60">
        <f t="shared" si="94"/>
        <v>1.2500000000000002</v>
      </c>
      <c r="P56" s="60">
        <f>0.253*0.1*B56</f>
        <v>0</v>
      </c>
      <c r="Q56" s="60">
        <f>2.53*0.395*B56</f>
        <v>0</v>
      </c>
      <c r="R56" s="8">
        <f>B56</f>
        <v>0</v>
      </c>
      <c r="S56" s="60">
        <f>0.167*B56</f>
        <v>0</v>
      </c>
      <c r="T56" s="60">
        <f>5.14*B56</f>
        <v>0</v>
      </c>
      <c r="U56" s="60">
        <f>(31.2-5.14)*B56</f>
        <v>0</v>
      </c>
      <c r="V56" s="61">
        <f>B56</f>
        <v>0</v>
      </c>
      <c r="W56" s="11">
        <f>0.35*B56</f>
        <v>0</v>
      </c>
      <c r="X56" s="11">
        <v>0</v>
      </c>
      <c r="Y56" s="11">
        <f>44.57*B56</f>
        <v>0</v>
      </c>
      <c r="Z56" s="8">
        <f>4/0.37*B56</f>
        <v>0</v>
      </c>
      <c r="AA56" s="8">
        <f>B56*1</f>
        <v>0</v>
      </c>
      <c r="AB56" s="8">
        <f t="shared" si="95"/>
        <v>0</v>
      </c>
      <c r="AC56" s="8">
        <f>8*B56</f>
        <v>0</v>
      </c>
      <c r="AD56" s="9">
        <f>IF(AK56&gt;=AJ56,((AK56-AJ56)*AO56+AN56*AP56)*B56,((AN56+AK56-AJ56)*AP56)*B56)</f>
        <v>0</v>
      </c>
      <c r="AE56" s="14"/>
      <c r="AF56" s="12"/>
      <c r="AG56" s="12"/>
      <c r="AH56" s="27"/>
      <c r="AI56" s="55">
        <v>4</v>
      </c>
      <c r="AJ56" s="55">
        <v>0.24</v>
      </c>
      <c r="AK56" s="38">
        <f>IF(AI56-1.8-0.8-0.15&gt;=0.4,AI56-1.8-0.8-0.15,0.4)</f>
        <v>1.2500000000000002</v>
      </c>
      <c r="AL56" s="62"/>
      <c r="AM56" s="38">
        <f>AI56-AK56-0.15+0.08</f>
        <v>2.68</v>
      </c>
      <c r="AN56" s="38">
        <f>AI56-AK56-1-0.1</f>
        <v>1.65</v>
      </c>
      <c r="AO56" s="38">
        <v>2.4</v>
      </c>
      <c r="AP56" s="38">
        <f>3.14*2.9*2.9/4-3.145*1.9*1.9/4</f>
        <v>3.7634875000000001</v>
      </c>
      <c r="AQ56" s="13"/>
    </row>
    <row r="57" spans="1:44" ht="21.95" hidden="1" customHeight="1" x14ac:dyDescent="0.15">
      <c r="A57" s="64" t="s">
        <v>102</v>
      </c>
      <c r="B57" s="59"/>
      <c r="C57" s="61" t="s">
        <v>41</v>
      </c>
      <c r="D57" s="61"/>
      <c r="E57" s="61"/>
      <c r="F57" s="11">
        <f>0.62*B57</f>
        <v>0</v>
      </c>
      <c r="G57" s="11">
        <f>1*B57</f>
        <v>0</v>
      </c>
      <c r="H57" s="11">
        <f>4.3*B57</f>
        <v>0</v>
      </c>
      <c r="I57" s="11">
        <v>0</v>
      </c>
      <c r="J57" s="11">
        <f>81*B57</f>
        <v>0</v>
      </c>
      <c r="K57" s="11">
        <f>AM57*1.07*B57</f>
        <v>0</v>
      </c>
      <c r="L57" s="11"/>
      <c r="M57" s="11">
        <f>0.4*B57*AK57</f>
        <v>0</v>
      </c>
      <c r="N57" s="60">
        <f t="shared" si="93"/>
        <v>2.9</v>
      </c>
      <c r="O57" s="60">
        <f t="shared" si="94"/>
        <v>1.0500000000000003</v>
      </c>
      <c r="P57" s="60">
        <f>0.253*0.1*B57</f>
        <v>0</v>
      </c>
      <c r="Q57" s="60">
        <f>2.53*0.395*B57</f>
        <v>0</v>
      </c>
      <c r="R57" s="8">
        <f>B57</f>
        <v>0</v>
      </c>
      <c r="S57" s="60">
        <f>0.167*B57</f>
        <v>0</v>
      </c>
      <c r="T57" s="60">
        <f>5.14*B57</f>
        <v>0</v>
      </c>
      <c r="U57" s="60">
        <f>(31.2-5.14)*B57</f>
        <v>0</v>
      </c>
      <c r="V57" s="61">
        <f>B57</f>
        <v>0</v>
      </c>
      <c r="W57" s="11">
        <f>0.35*B57</f>
        <v>0</v>
      </c>
      <c r="X57" s="11">
        <v>0</v>
      </c>
      <c r="Y57" s="11">
        <f>44.57*B57</f>
        <v>0</v>
      </c>
      <c r="Z57" s="8">
        <f>4/0.37*B57</f>
        <v>0</v>
      </c>
      <c r="AA57" s="8">
        <f>B57*1</f>
        <v>0</v>
      </c>
      <c r="AB57" s="8">
        <f t="shared" si="95"/>
        <v>0</v>
      </c>
      <c r="AC57" s="8">
        <f>8*B57</f>
        <v>0</v>
      </c>
      <c r="AD57" s="9">
        <f>IF(AK57&gt;=AJ57,((AK57-AJ57)*AO57+AN57*AP57)*B57,((AN57+AK57-AJ57)*AP57)*B57)</f>
        <v>0</v>
      </c>
      <c r="AE57" s="14"/>
      <c r="AF57" s="12"/>
      <c r="AG57" s="12"/>
      <c r="AH57" s="27"/>
      <c r="AI57" s="55">
        <v>4</v>
      </c>
      <c r="AJ57" s="55">
        <v>0.13</v>
      </c>
      <c r="AK57" s="38">
        <f>IF(AI57-1.8-1-0.15&gt;=0.4,AI57-1.8-1-0.15,0.4)</f>
        <v>1.0500000000000003</v>
      </c>
      <c r="AL57" s="62"/>
      <c r="AM57" s="38">
        <f>AI57-AK57-0.15+0.1</f>
        <v>2.9</v>
      </c>
      <c r="AN57" s="38">
        <f>AI57-AK57-1-0.1</f>
        <v>1.8499999999999996</v>
      </c>
      <c r="AO57" s="38">
        <v>2.4</v>
      </c>
      <c r="AP57" s="38">
        <f>3.14*2.9*2.9/4-3.14*1.9*1.9/4</f>
        <v>3.7679999999999998</v>
      </c>
      <c r="AQ57" s="13"/>
    </row>
    <row r="58" spans="1:44" ht="21.95" hidden="1" customHeight="1" x14ac:dyDescent="0.15">
      <c r="A58" s="64" t="s">
        <v>27</v>
      </c>
      <c r="B58" s="59">
        <f>SUM(B53:B56)</f>
        <v>0</v>
      </c>
      <c r="C58" s="61"/>
      <c r="D58" s="61"/>
      <c r="E58" s="61"/>
      <c r="F58" s="11">
        <f t="shared" ref="F58:AD58" si="96">SUM(F53:F56)</f>
        <v>0</v>
      </c>
      <c r="G58" s="11">
        <f t="shared" si="96"/>
        <v>0</v>
      </c>
      <c r="H58" s="11">
        <f t="shared" si="96"/>
        <v>0</v>
      </c>
      <c r="I58" s="11">
        <f t="shared" si="96"/>
        <v>0</v>
      </c>
      <c r="J58" s="11">
        <f t="shared" si="96"/>
        <v>0</v>
      </c>
      <c r="K58" s="11">
        <f t="shared" si="96"/>
        <v>0</v>
      </c>
      <c r="L58" s="11"/>
      <c r="M58" s="11">
        <f t="shared" si="96"/>
        <v>0</v>
      </c>
      <c r="N58" s="60">
        <f t="shared" si="96"/>
        <v>9.73</v>
      </c>
      <c r="O58" s="60">
        <f t="shared" si="96"/>
        <v>4.9000000000000004</v>
      </c>
      <c r="P58" s="60">
        <f t="shared" si="96"/>
        <v>0</v>
      </c>
      <c r="Q58" s="60">
        <f t="shared" si="96"/>
        <v>0</v>
      </c>
      <c r="R58" s="8">
        <f t="shared" si="96"/>
        <v>0</v>
      </c>
      <c r="S58" s="60">
        <f t="shared" si="96"/>
        <v>0</v>
      </c>
      <c r="T58" s="60">
        <f t="shared" si="96"/>
        <v>0</v>
      </c>
      <c r="U58" s="60">
        <f t="shared" si="96"/>
        <v>0</v>
      </c>
      <c r="V58" s="61">
        <f t="shared" si="96"/>
        <v>0</v>
      </c>
      <c r="W58" s="11">
        <f t="shared" si="96"/>
        <v>0</v>
      </c>
      <c r="X58" s="11">
        <f t="shared" si="96"/>
        <v>0</v>
      </c>
      <c r="Y58" s="11">
        <f t="shared" si="96"/>
        <v>0</v>
      </c>
      <c r="Z58" s="8">
        <f t="shared" si="96"/>
        <v>0</v>
      </c>
      <c r="AA58" s="8">
        <f t="shared" si="96"/>
        <v>0</v>
      </c>
      <c r="AB58" s="8">
        <f t="shared" si="96"/>
        <v>0</v>
      </c>
      <c r="AC58" s="8">
        <f t="shared" si="96"/>
        <v>0</v>
      </c>
      <c r="AD58" s="9">
        <f t="shared" si="96"/>
        <v>0</v>
      </c>
      <c r="AE58" s="14"/>
      <c r="AF58" s="12"/>
      <c r="AG58" s="12"/>
      <c r="AH58" s="27"/>
      <c r="AI58" s="55"/>
      <c r="AJ58" s="55"/>
      <c r="AK58" s="38"/>
      <c r="AL58" s="62"/>
      <c r="AM58" s="38"/>
      <c r="AN58" s="38"/>
      <c r="AO58" s="38"/>
      <c r="AP58" s="38"/>
      <c r="AQ58" s="13"/>
    </row>
    <row r="59" spans="1:44" ht="18" hidden="1" customHeight="1" x14ac:dyDescent="0.15">
      <c r="A59" s="383" t="s">
        <v>88</v>
      </c>
      <c r="B59" s="384"/>
      <c r="C59" s="384"/>
      <c r="D59" s="384"/>
      <c r="E59" s="384"/>
      <c r="F59" s="384"/>
      <c r="G59" s="384"/>
      <c r="H59" s="384"/>
      <c r="I59" s="384"/>
      <c r="J59" s="384"/>
      <c r="K59" s="384"/>
      <c r="L59" s="384"/>
      <c r="M59" s="384"/>
      <c r="N59" s="384"/>
      <c r="O59" s="384"/>
      <c r="P59" s="384"/>
      <c r="Q59" s="384"/>
      <c r="R59" s="384"/>
      <c r="S59" s="384"/>
      <c r="T59" s="384"/>
      <c r="U59" s="384"/>
      <c r="V59" s="384"/>
      <c r="W59" s="384"/>
      <c r="X59" s="384"/>
      <c r="Y59" s="384"/>
      <c r="Z59" s="384"/>
      <c r="AA59" s="384"/>
      <c r="AB59" s="384"/>
      <c r="AC59" s="384"/>
      <c r="AD59" s="384"/>
      <c r="AE59" s="384"/>
      <c r="AI59" s="55" t="s">
        <v>73</v>
      </c>
      <c r="AJ59" s="55" t="s">
        <v>74</v>
      </c>
      <c r="AK59" s="38" t="s">
        <v>75</v>
      </c>
      <c r="AL59" s="62"/>
      <c r="AM59" s="38" t="s">
        <v>76</v>
      </c>
      <c r="AN59" s="38" t="s">
        <v>77</v>
      </c>
      <c r="AO59" s="38" t="s">
        <v>78</v>
      </c>
      <c r="AP59" s="38" t="s">
        <v>79</v>
      </c>
      <c r="AQ59" s="10"/>
      <c r="AR59" s="10"/>
    </row>
    <row r="60" spans="1:44" ht="21.95" hidden="1" customHeight="1" x14ac:dyDescent="0.15">
      <c r="A60" s="64" t="s">
        <v>102</v>
      </c>
      <c r="B60" s="59"/>
      <c r="C60" s="61" t="s">
        <v>84</v>
      </c>
      <c r="D60" s="61"/>
      <c r="E60" s="61"/>
      <c r="F60" s="11">
        <f>0.44*B60</f>
        <v>0</v>
      </c>
      <c r="G60" s="11">
        <f>1*B60</f>
        <v>0</v>
      </c>
      <c r="H60" s="11">
        <f>1.5*B60</f>
        <v>0</v>
      </c>
      <c r="I60" s="11">
        <v>0</v>
      </c>
      <c r="J60" s="11">
        <f>55.54*B60</f>
        <v>0</v>
      </c>
      <c r="K60" s="11">
        <f>AM60*0.75*B60</f>
        <v>0</v>
      </c>
      <c r="L60" s="11"/>
      <c r="M60" s="11">
        <f>0.4*B60*AK60</f>
        <v>0</v>
      </c>
      <c r="N60" s="60">
        <f t="shared" ref="N60:N64" si="97">AM60</f>
        <v>2.2400000000000002</v>
      </c>
      <c r="O60" s="60">
        <f t="shared" ref="O60:O64" si="98">AK60</f>
        <v>1.35</v>
      </c>
      <c r="P60" s="60">
        <f>0.253*0.1*B60</f>
        <v>0</v>
      </c>
      <c r="Q60" s="60">
        <f>2.53*0.395*B60</f>
        <v>0</v>
      </c>
      <c r="R60" s="8">
        <f>B60</f>
        <v>0</v>
      </c>
      <c r="S60" s="60">
        <f>0.167*B60</f>
        <v>0</v>
      </c>
      <c r="T60" s="60">
        <f>5.14*B60</f>
        <v>0</v>
      </c>
      <c r="U60" s="60">
        <f>(31.2-5.14)*B60</f>
        <v>0</v>
      </c>
      <c r="V60" s="61">
        <f>B60</f>
        <v>0</v>
      </c>
      <c r="W60" s="11">
        <f>0.16*B60</f>
        <v>0</v>
      </c>
      <c r="X60" s="11">
        <v>0</v>
      </c>
      <c r="Y60" s="11">
        <f>20.69*B60</f>
        <v>0</v>
      </c>
      <c r="Z60" s="8">
        <f>AI60/0.37*B60</f>
        <v>0</v>
      </c>
      <c r="AA60" s="8">
        <f>B60*1</f>
        <v>0</v>
      </c>
      <c r="AB60" s="8">
        <f t="shared" ref="AB60:AB64" si="99">AA60</f>
        <v>0</v>
      </c>
      <c r="AC60" s="8">
        <f>8*B60</f>
        <v>0</v>
      </c>
      <c r="AD60" s="9">
        <f>IF(AK60&gt;=AJ60,((AK60-AJ60)*AO60+AN60*AP60)*B60,((AN60+AK60-AJ60)*AP60)*B60)</f>
        <v>0</v>
      </c>
      <c r="AE60" s="14"/>
      <c r="AF60" s="12"/>
      <c r="AG60" s="12"/>
      <c r="AH60" s="27"/>
      <c r="AI60" s="55">
        <v>3.7</v>
      </c>
      <c r="AJ60" s="55">
        <v>0.24</v>
      </c>
      <c r="AK60" s="38">
        <f>IF(AI60-1.8-0.4-0.15&gt;=0.4,AI60-1.8-0.4-0.15,0.4)</f>
        <v>1.35</v>
      </c>
      <c r="AL60" s="62"/>
      <c r="AM60" s="38">
        <f>AI60-AK60-0.15+0.04</f>
        <v>2.2400000000000002</v>
      </c>
      <c r="AN60" s="38">
        <f>AI60-AK60-0.4-0.04</f>
        <v>1.9100000000000001</v>
      </c>
      <c r="AO60" s="38">
        <v>2.4</v>
      </c>
      <c r="AP60" s="38">
        <f>3.14*2.4*2.4/4-3.14*1.4*1.4/4</f>
        <v>2.9829999999999997</v>
      </c>
      <c r="AQ60" s="13"/>
      <c r="AR60" s="13"/>
    </row>
    <row r="61" spans="1:44" ht="21.95" hidden="1" customHeight="1" x14ac:dyDescent="0.15">
      <c r="A61" s="64" t="s">
        <v>102</v>
      </c>
      <c r="B61" s="59"/>
      <c r="C61" s="61" t="s">
        <v>85</v>
      </c>
      <c r="D61" s="61"/>
      <c r="E61" s="61"/>
      <c r="F61" s="11">
        <f>0.44*B61</f>
        <v>0</v>
      </c>
      <c r="G61" s="11">
        <f>1*B61</f>
        <v>0</v>
      </c>
      <c r="H61" s="11">
        <f>1.5*B61</f>
        <v>0</v>
      </c>
      <c r="I61" s="11">
        <v>0</v>
      </c>
      <c r="J61" s="11">
        <f>55.54*B61</f>
        <v>0</v>
      </c>
      <c r="K61" s="11">
        <f>AM61*0.75*B61</f>
        <v>0</v>
      </c>
      <c r="L61" s="11"/>
      <c r="M61" s="11">
        <f>0.4*B61*AK61</f>
        <v>0</v>
      </c>
      <c r="N61" s="60">
        <f t="shared" si="97"/>
        <v>2.35</v>
      </c>
      <c r="O61" s="60">
        <f t="shared" si="98"/>
        <v>1.05</v>
      </c>
      <c r="P61" s="60">
        <f>0.253*0.1*B61</f>
        <v>0</v>
      </c>
      <c r="Q61" s="60">
        <f>2.53*0.395*B61</f>
        <v>0</v>
      </c>
      <c r="R61" s="8">
        <f>B61</f>
        <v>0</v>
      </c>
      <c r="S61" s="60">
        <f>0.167*B61</f>
        <v>0</v>
      </c>
      <c r="T61" s="60">
        <f>5.14*B61</f>
        <v>0</v>
      </c>
      <c r="U61" s="60">
        <f>(31.2-5.14)*B61</f>
        <v>0</v>
      </c>
      <c r="V61" s="61">
        <f>B61</f>
        <v>0</v>
      </c>
      <c r="W61" s="11">
        <f>0.16*B61</f>
        <v>0</v>
      </c>
      <c r="X61" s="11">
        <v>0</v>
      </c>
      <c r="Y61" s="11">
        <f>20.69*B61</f>
        <v>0</v>
      </c>
      <c r="Z61" s="8">
        <f>4/0.37*B61</f>
        <v>0</v>
      </c>
      <c r="AA61" s="8">
        <f>B61*1</f>
        <v>0</v>
      </c>
      <c r="AB61" s="8">
        <f t="shared" si="99"/>
        <v>0</v>
      </c>
      <c r="AC61" s="8">
        <f>8*B61</f>
        <v>0</v>
      </c>
      <c r="AD61" s="9">
        <f>IF(AK61&gt;=AJ61,((AK61-AJ61)*AO61+AN61*AP61)*B61,((AN61+AK61-AJ61)*AP61)*B61)</f>
        <v>0</v>
      </c>
      <c r="AE61" s="14"/>
      <c r="AF61" s="12"/>
      <c r="AG61" s="12"/>
      <c r="AH61" s="27"/>
      <c r="AI61" s="55">
        <v>3.5</v>
      </c>
      <c r="AJ61" s="55">
        <v>0.24</v>
      </c>
      <c r="AK61" s="38">
        <f>IF(AI61-1.8-0.5-0.15&gt;=0.4,AI61-1.8-0.5-0.15,0.4)</f>
        <v>1.05</v>
      </c>
      <c r="AL61" s="62"/>
      <c r="AM61" s="38">
        <f>AI61-AK61-0.15+0.05</f>
        <v>2.35</v>
      </c>
      <c r="AN61" s="38">
        <f>AI61-AK61-0.5-0.05</f>
        <v>1.9000000000000001</v>
      </c>
      <c r="AO61" s="38">
        <v>2.4</v>
      </c>
      <c r="AP61" s="38">
        <f>3.14*2.4*2.4/4-3.14*1.4*1.4/4</f>
        <v>2.9829999999999997</v>
      </c>
      <c r="AQ61" s="13"/>
      <c r="AR61" s="13"/>
    </row>
    <row r="62" spans="1:44" ht="21.95" hidden="1" customHeight="1" x14ac:dyDescent="0.15">
      <c r="A62" s="64" t="s">
        <v>102</v>
      </c>
      <c r="B62" s="59"/>
      <c r="C62" s="61" t="s">
        <v>86</v>
      </c>
      <c r="D62" s="61"/>
      <c r="E62" s="61"/>
      <c r="F62" s="11">
        <f>0.59*B62</f>
        <v>0</v>
      </c>
      <c r="G62" s="11">
        <f>1*B62</f>
        <v>0</v>
      </c>
      <c r="H62" s="11">
        <f>3*B62</f>
        <v>0</v>
      </c>
      <c r="I62" s="11">
        <v>0</v>
      </c>
      <c r="J62" s="11">
        <f>70.28*B62</f>
        <v>0</v>
      </c>
      <c r="K62" s="11">
        <f>AM62*0.91*B62</f>
        <v>0</v>
      </c>
      <c r="L62" s="11"/>
      <c r="M62" s="11">
        <f>0.4*B62*AK62</f>
        <v>0</v>
      </c>
      <c r="N62" s="60">
        <f t="shared" si="97"/>
        <v>2.46</v>
      </c>
      <c r="O62" s="60">
        <f t="shared" si="98"/>
        <v>1.4500000000000002</v>
      </c>
      <c r="P62" s="60">
        <f>0.253*0.1*B62</f>
        <v>0</v>
      </c>
      <c r="Q62" s="60">
        <f>2.53*0.395*B62</f>
        <v>0</v>
      </c>
      <c r="R62" s="8">
        <f>B62</f>
        <v>0</v>
      </c>
      <c r="S62" s="60">
        <f>0.167*B62</f>
        <v>0</v>
      </c>
      <c r="T62" s="60">
        <f>5.14*B62</f>
        <v>0</v>
      </c>
      <c r="U62" s="60">
        <f>(31.2-5.14)*B62</f>
        <v>0</v>
      </c>
      <c r="V62" s="61">
        <f>B62</f>
        <v>0</v>
      </c>
      <c r="W62" s="11">
        <f>0.25*B62</f>
        <v>0</v>
      </c>
      <c r="X62" s="11">
        <v>0</v>
      </c>
      <c r="Y62" s="11">
        <f>32.69*B62</f>
        <v>0</v>
      </c>
      <c r="Z62" s="8">
        <f>4/0.37*B62</f>
        <v>0</v>
      </c>
      <c r="AA62" s="8">
        <f>B62*1</f>
        <v>0</v>
      </c>
      <c r="AB62" s="8">
        <f t="shared" si="99"/>
        <v>0</v>
      </c>
      <c r="AC62" s="8">
        <f>8*B62</f>
        <v>0</v>
      </c>
      <c r="AD62" s="9">
        <f>IF(AK62&gt;=AJ62,((AK62-AJ62)*AO62+AN62*AP62)*B62,((AN62+AK62-AJ62)*AP62)*B62)</f>
        <v>0</v>
      </c>
      <c r="AE62" s="14"/>
      <c r="AF62" s="12"/>
      <c r="AG62" s="12"/>
      <c r="AH62" s="27"/>
      <c r="AI62" s="55">
        <v>4</v>
      </c>
      <c r="AJ62" s="55">
        <v>0.24</v>
      </c>
      <c r="AK62" s="38">
        <f>IF(AI62-1.8-0.6-0.15&gt;=0.4,AI62-1.8-0.6-0.15,0.4)</f>
        <v>1.4500000000000002</v>
      </c>
      <c r="AL62" s="62"/>
      <c r="AM62" s="38">
        <f>AI62-AK62-0.15+0.06</f>
        <v>2.46</v>
      </c>
      <c r="AN62" s="38">
        <f>AI62-AK62-0.6-0.06</f>
        <v>1.8899999999999997</v>
      </c>
      <c r="AO62" s="38">
        <v>2.4</v>
      </c>
      <c r="AP62" s="38">
        <f>3.14*2.65*2.65/4-3.14*1.65*1.65/4</f>
        <v>3.3754999999999993</v>
      </c>
      <c r="AQ62" s="13"/>
      <c r="AR62" s="13"/>
    </row>
    <row r="63" spans="1:44" ht="21.95" hidden="1" customHeight="1" x14ac:dyDescent="0.15">
      <c r="A63" s="64" t="s">
        <v>102</v>
      </c>
      <c r="B63" s="59"/>
      <c r="C63" s="61" t="s">
        <v>87</v>
      </c>
      <c r="D63" s="61"/>
      <c r="E63" s="61"/>
      <c r="F63" s="11">
        <f>0.62*B63</f>
        <v>0</v>
      </c>
      <c r="G63" s="11">
        <f>1*B63</f>
        <v>0</v>
      </c>
      <c r="H63" s="11">
        <f>4.3*B63</f>
        <v>0</v>
      </c>
      <c r="I63" s="11">
        <v>0</v>
      </c>
      <c r="J63" s="11">
        <f>81*B63</f>
        <v>0</v>
      </c>
      <c r="K63" s="11">
        <f>AM63*1.07*B63</f>
        <v>0</v>
      </c>
      <c r="L63" s="11"/>
      <c r="M63" s="11">
        <f>0.4*B63*AK63</f>
        <v>0</v>
      </c>
      <c r="N63" s="60">
        <f t="shared" si="97"/>
        <v>2.68</v>
      </c>
      <c r="O63" s="60">
        <f t="shared" si="98"/>
        <v>1.2500000000000002</v>
      </c>
      <c r="P63" s="60">
        <f>0.253*0.1*B63</f>
        <v>0</v>
      </c>
      <c r="Q63" s="60">
        <f>2.53*0.395*B63</f>
        <v>0</v>
      </c>
      <c r="R63" s="8">
        <f>B63</f>
        <v>0</v>
      </c>
      <c r="S63" s="60">
        <f>0.167*B63</f>
        <v>0</v>
      </c>
      <c r="T63" s="60">
        <f>5.14*B63</f>
        <v>0</v>
      </c>
      <c r="U63" s="60">
        <f>(31.2-5.14)*B63</f>
        <v>0</v>
      </c>
      <c r="V63" s="61">
        <f>B63</f>
        <v>0</v>
      </c>
      <c r="W63" s="11">
        <f>0.35*B63</f>
        <v>0</v>
      </c>
      <c r="X63" s="11">
        <v>0</v>
      </c>
      <c r="Y63" s="11">
        <f>44.57*B63</f>
        <v>0</v>
      </c>
      <c r="Z63" s="8">
        <f>4/0.37*B63</f>
        <v>0</v>
      </c>
      <c r="AA63" s="8">
        <f>B63*1</f>
        <v>0</v>
      </c>
      <c r="AB63" s="8">
        <f t="shared" si="99"/>
        <v>0</v>
      </c>
      <c r="AC63" s="8">
        <f>8*B63</f>
        <v>0</v>
      </c>
      <c r="AD63" s="9">
        <f>IF(AK63&gt;=AJ63,((AK63-AJ63)*AO63+AN63*AP63)*B63,((AN63+AK63-AJ63)*AP63)*B63)</f>
        <v>0</v>
      </c>
      <c r="AE63" s="14"/>
      <c r="AF63" s="12"/>
      <c r="AG63" s="12"/>
      <c r="AH63" s="27"/>
      <c r="AI63" s="55">
        <v>4</v>
      </c>
      <c r="AJ63" s="55">
        <v>0.24</v>
      </c>
      <c r="AK63" s="38">
        <f>IF(AI63-1.8-0.8-0.15&gt;=0.4,AI63-1.8-0.8-0.15,0.4)</f>
        <v>1.2500000000000002</v>
      </c>
      <c r="AL63" s="62"/>
      <c r="AM63" s="38">
        <f>AI63-AK63-0.15+0.08</f>
        <v>2.68</v>
      </c>
      <c r="AN63" s="38">
        <f>AI63-AK63-1-0.1</f>
        <v>1.65</v>
      </c>
      <c r="AO63" s="38">
        <v>2.4</v>
      </c>
      <c r="AP63" s="38">
        <f>3.14*2.9*2.9/4-3.145*1.9*1.9/4</f>
        <v>3.7634875000000001</v>
      </c>
      <c r="AQ63" s="13"/>
    </row>
    <row r="64" spans="1:44" ht="21.95" hidden="1" customHeight="1" x14ac:dyDescent="0.15">
      <c r="A64" s="64" t="s">
        <v>102</v>
      </c>
      <c r="B64" s="59"/>
      <c r="C64" s="61" t="s">
        <v>41</v>
      </c>
      <c r="D64" s="61"/>
      <c r="E64" s="61"/>
      <c r="F64" s="11">
        <f>0.62*B64</f>
        <v>0</v>
      </c>
      <c r="G64" s="11">
        <f>1*B64</f>
        <v>0</v>
      </c>
      <c r="H64" s="11">
        <f>4.3*B64</f>
        <v>0</v>
      </c>
      <c r="I64" s="11">
        <v>0</v>
      </c>
      <c r="J64" s="11">
        <f>81*B64</f>
        <v>0</v>
      </c>
      <c r="K64" s="11">
        <f>AM64*1.07*B64</f>
        <v>0</v>
      </c>
      <c r="L64" s="11"/>
      <c r="M64" s="11">
        <f>0.4*B64*AK64</f>
        <v>0</v>
      </c>
      <c r="N64" s="60">
        <f t="shared" si="97"/>
        <v>2.9</v>
      </c>
      <c r="O64" s="60">
        <f t="shared" si="98"/>
        <v>1.0500000000000003</v>
      </c>
      <c r="P64" s="60">
        <f>0.253*0.1*B64</f>
        <v>0</v>
      </c>
      <c r="Q64" s="60">
        <f>2.53*0.395*B64</f>
        <v>0</v>
      </c>
      <c r="R64" s="8">
        <f>B64</f>
        <v>0</v>
      </c>
      <c r="S64" s="60">
        <f>0.167*B64</f>
        <v>0</v>
      </c>
      <c r="T64" s="60">
        <f>5.14*B64</f>
        <v>0</v>
      </c>
      <c r="U64" s="60">
        <f>(31.2-5.14)*B64</f>
        <v>0</v>
      </c>
      <c r="V64" s="61">
        <f>B64</f>
        <v>0</v>
      </c>
      <c r="W64" s="11">
        <f>0.35*B64</f>
        <v>0</v>
      </c>
      <c r="X64" s="11">
        <v>0</v>
      </c>
      <c r="Y64" s="11">
        <f>44.57*B64</f>
        <v>0</v>
      </c>
      <c r="Z64" s="8">
        <f>4/0.37*B64</f>
        <v>0</v>
      </c>
      <c r="AA64" s="8">
        <f>B64*1</f>
        <v>0</v>
      </c>
      <c r="AB64" s="8">
        <f t="shared" si="99"/>
        <v>0</v>
      </c>
      <c r="AC64" s="8">
        <f>8*B64</f>
        <v>0</v>
      </c>
      <c r="AD64" s="9">
        <f>IF(AK64&gt;=AJ64,((AK64-AJ64)*AO64+AN64*AP64)*B64,((AN64+AK64-AJ64)*AP64)*B64)</f>
        <v>0</v>
      </c>
      <c r="AE64" s="14"/>
      <c r="AF64" s="12"/>
      <c r="AG64" s="12"/>
      <c r="AH64" s="27"/>
      <c r="AI64" s="55">
        <v>4</v>
      </c>
      <c r="AJ64" s="55">
        <v>0.13</v>
      </c>
      <c r="AK64" s="38">
        <f>IF(AI64-1.8-1-0.15&gt;=0.4,AI64-1.8-1-0.15,0.4)</f>
        <v>1.0500000000000003</v>
      </c>
      <c r="AL64" s="62"/>
      <c r="AM64" s="38">
        <f>AI64-AK64-0.15+0.1</f>
        <v>2.9</v>
      </c>
      <c r="AN64" s="38">
        <f>AI64-AK64-1-0.1</f>
        <v>1.8499999999999996</v>
      </c>
      <c r="AO64" s="38">
        <v>2.4</v>
      </c>
      <c r="AP64" s="38">
        <f>3.14*2.9*2.9/4-3.14*1.9*1.9/4</f>
        <v>3.7679999999999998</v>
      </c>
      <c r="AQ64" s="13"/>
    </row>
    <row r="65" spans="1:73" ht="21.95" hidden="1" customHeight="1" x14ac:dyDescent="0.15">
      <c r="A65" s="64" t="s">
        <v>27</v>
      </c>
      <c r="B65" s="59">
        <f>SUM(B60:B63)</f>
        <v>0</v>
      </c>
      <c r="C65" s="61"/>
      <c r="D65" s="61"/>
      <c r="E65" s="61"/>
      <c r="F65" s="11">
        <f t="shared" ref="F65:AD65" si="100">SUM(F60:F63)</f>
        <v>0</v>
      </c>
      <c r="G65" s="11">
        <f t="shared" si="100"/>
        <v>0</v>
      </c>
      <c r="H65" s="11">
        <f t="shared" si="100"/>
        <v>0</v>
      </c>
      <c r="I65" s="11">
        <f t="shared" si="100"/>
        <v>0</v>
      </c>
      <c r="J65" s="11">
        <f t="shared" si="100"/>
        <v>0</v>
      </c>
      <c r="K65" s="11">
        <f t="shared" si="100"/>
        <v>0</v>
      </c>
      <c r="L65" s="11"/>
      <c r="M65" s="11">
        <f t="shared" si="100"/>
        <v>0</v>
      </c>
      <c r="N65" s="60">
        <f t="shared" si="100"/>
        <v>9.73</v>
      </c>
      <c r="O65" s="60">
        <f t="shared" si="100"/>
        <v>5.1000000000000005</v>
      </c>
      <c r="P65" s="60">
        <f t="shared" si="100"/>
        <v>0</v>
      </c>
      <c r="Q65" s="60">
        <f t="shared" si="100"/>
        <v>0</v>
      </c>
      <c r="R65" s="8">
        <f t="shared" si="100"/>
        <v>0</v>
      </c>
      <c r="S65" s="60">
        <f t="shared" si="100"/>
        <v>0</v>
      </c>
      <c r="T65" s="60">
        <f t="shared" si="100"/>
        <v>0</v>
      </c>
      <c r="U65" s="60">
        <f t="shared" si="100"/>
        <v>0</v>
      </c>
      <c r="V65" s="61">
        <f t="shared" si="100"/>
        <v>0</v>
      </c>
      <c r="W65" s="11">
        <f t="shared" si="100"/>
        <v>0</v>
      </c>
      <c r="X65" s="11">
        <f t="shared" si="100"/>
        <v>0</v>
      </c>
      <c r="Y65" s="11">
        <f t="shared" si="100"/>
        <v>0</v>
      </c>
      <c r="Z65" s="8">
        <f t="shared" si="100"/>
        <v>0</v>
      </c>
      <c r="AA65" s="8">
        <f t="shared" si="100"/>
        <v>0</v>
      </c>
      <c r="AB65" s="8">
        <f t="shared" si="100"/>
        <v>0</v>
      </c>
      <c r="AC65" s="8">
        <f t="shared" si="100"/>
        <v>0</v>
      </c>
      <c r="AD65" s="9">
        <f t="shared" si="100"/>
        <v>0</v>
      </c>
      <c r="AE65" s="14"/>
      <c r="AF65" s="12"/>
      <c r="AG65" s="12"/>
      <c r="AH65" s="27"/>
      <c r="AI65" s="55"/>
      <c r="AJ65" s="55"/>
      <c r="AK65" s="38"/>
      <c r="AL65" s="62"/>
      <c r="AM65" s="38"/>
      <c r="AN65" s="38"/>
      <c r="AO65" s="38"/>
      <c r="AP65" s="38"/>
      <c r="AQ65" s="13"/>
    </row>
    <row r="66" spans="1:73" ht="26.25" hidden="1" customHeight="1" x14ac:dyDescent="0.15">
      <c r="A66" s="65" t="s">
        <v>28</v>
      </c>
      <c r="B66" s="66">
        <v>0</v>
      </c>
      <c r="C66" s="67" t="s">
        <v>29</v>
      </c>
      <c r="D66" s="67"/>
      <c r="E66" s="67"/>
      <c r="F66" s="16"/>
      <c r="G66" s="17">
        <f>0.86*B66</f>
        <v>0</v>
      </c>
      <c r="H66" s="17"/>
      <c r="I66" s="17"/>
      <c r="J66" s="67">
        <v>0</v>
      </c>
      <c r="K66" s="17">
        <f>5.6*B66</f>
        <v>0</v>
      </c>
      <c r="L66" s="17"/>
      <c r="M66" s="17" t="e">
        <f>0.71*#REF!*B66</f>
        <v>#REF!</v>
      </c>
      <c r="N66" s="67"/>
      <c r="O66" s="67"/>
      <c r="P66" s="67"/>
      <c r="Q66" s="67"/>
      <c r="R66" s="67">
        <f>B66</f>
        <v>0</v>
      </c>
      <c r="S66" s="67"/>
      <c r="T66" s="67"/>
      <c r="U66" s="67"/>
      <c r="V66" s="67"/>
      <c r="W66" s="67">
        <f>0.41*B66</f>
        <v>0</v>
      </c>
      <c r="X66" s="67"/>
      <c r="Y66" s="67">
        <f>46.94*B66</f>
        <v>0</v>
      </c>
      <c r="Z66" s="67"/>
      <c r="AA66" s="67"/>
      <c r="AB66" s="67"/>
      <c r="AC66" s="67"/>
      <c r="AD66" s="18"/>
      <c r="AE66" s="19" t="s">
        <v>30</v>
      </c>
      <c r="AF66" s="12"/>
      <c r="AG66" s="12"/>
      <c r="AI66" s="68">
        <v>4</v>
      </c>
      <c r="AJ66" s="68"/>
      <c r="AK66" s="20">
        <f>AM66*(3.72*2.58-2.72*1.58)+AO66*(2.18^2-1.18^2)*3.14159/4</f>
        <v>16.551988820000002</v>
      </c>
      <c r="AL66" s="69"/>
      <c r="AM66" s="20">
        <v>2.65</v>
      </c>
      <c r="AN66" s="20"/>
      <c r="AO66" s="20">
        <f>AI66-AM66-0.4</f>
        <v>0.95000000000000007</v>
      </c>
      <c r="AP66" s="21">
        <f>IF(AO66-0.6&lt;0,0,AO66-0.6)</f>
        <v>0.35000000000000009</v>
      </c>
      <c r="AQ66" s="13"/>
      <c r="AR66" s="13"/>
    </row>
    <row r="67" spans="1:73" ht="26.25" customHeight="1" x14ac:dyDescent="0.15">
      <c r="A67" s="65"/>
      <c r="B67" s="66"/>
      <c r="C67" s="67"/>
      <c r="D67" s="67"/>
      <c r="E67" s="67"/>
      <c r="F67" s="16"/>
      <c r="G67" s="17"/>
      <c r="H67" s="17"/>
      <c r="I67" s="17"/>
      <c r="J67" s="67"/>
      <c r="K67" s="17"/>
      <c r="L67" s="17"/>
      <c r="M67" s="1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18"/>
      <c r="AE67" s="19"/>
      <c r="AF67" s="12"/>
      <c r="AG67" s="12"/>
      <c r="AI67" s="68"/>
      <c r="AJ67" s="68"/>
      <c r="AK67" s="20"/>
      <c r="AL67" s="69"/>
      <c r="AM67" s="20"/>
      <c r="AN67" s="20"/>
      <c r="AO67" s="20"/>
      <c r="AP67" s="21"/>
      <c r="AQ67" s="13"/>
      <c r="AR67" s="13"/>
    </row>
    <row r="68" spans="1:73" ht="37.5" customHeight="1" x14ac:dyDescent="0.15">
      <c r="A68" s="7" t="s">
        <v>134</v>
      </c>
      <c r="B68" s="7" t="s">
        <v>135</v>
      </c>
      <c r="C68" s="78" t="s">
        <v>139</v>
      </c>
      <c r="D68" s="387" t="s">
        <v>136</v>
      </c>
      <c r="E68" s="388"/>
      <c r="F68" s="389"/>
      <c r="G68" s="7"/>
      <c r="H68" s="7"/>
      <c r="I68" s="7"/>
      <c r="J68" s="7"/>
      <c r="K68" s="390" t="s">
        <v>137</v>
      </c>
      <c r="L68" s="391"/>
      <c r="M68" s="392" t="s">
        <v>140</v>
      </c>
      <c r="N68" s="386"/>
      <c r="O68" s="386"/>
      <c r="P68" s="386"/>
      <c r="Q68" s="386"/>
      <c r="R68" s="385" t="s">
        <v>141</v>
      </c>
      <c r="S68" s="385"/>
      <c r="T68" s="385"/>
      <c r="U68" s="385"/>
      <c r="V68" s="385"/>
      <c r="W68" s="385"/>
      <c r="X68" s="7"/>
      <c r="Y68" s="7"/>
      <c r="Z68" s="7"/>
      <c r="AA68" s="7"/>
      <c r="AB68" s="61"/>
      <c r="AC68" s="61"/>
      <c r="AD68" s="15"/>
      <c r="AE68" s="22"/>
      <c r="AF68" s="12"/>
      <c r="AG68" s="12"/>
      <c r="AI68" s="68">
        <v>5</v>
      </c>
      <c r="AJ68" s="68"/>
      <c r="AK68" s="20">
        <f>AM68*(3.72*2.58-2.72*1.58)+AO68*(2.18^2-1.18^2)*3.14159/4</f>
        <v>20.388403400000001</v>
      </c>
      <c r="AL68" s="69"/>
      <c r="AM68" s="20">
        <v>3.1</v>
      </c>
      <c r="AN68" s="20"/>
      <c r="AO68" s="20">
        <f>AI68-AM68-0.4</f>
        <v>1.5</v>
      </c>
      <c r="AP68" s="21">
        <f>IF(AO68-0.6&lt;0,0,AO68-0.6)</f>
        <v>0.9</v>
      </c>
      <c r="AQ68" s="13"/>
      <c r="AR68" s="13"/>
    </row>
    <row r="69" spans="1:73" ht="26.25" customHeight="1" x14ac:dyDescent="0.15">
      <c r="A69" s="58" t="s">
        <v>138</v>
      </c>
      <c r="B69" s="59"/>
      <c r="C69" s="7" t="s">
        <v>142</v>
      </c>
      <c r="D69" s="393">
        <f>11.53*B69</f>
        <v>0</v>
      </c>
      <c r="E69" s="394"/>
      <c r="F69" s="395"/>
      <c r="G69" s="7"/>
      <c r="H69" s="7"/>
      <c r="I69" s="7"/>
      <c r="J69" s="7"/>
      <c r="K69" s="393">
        <f>10.24*B69</f>
        <v>0</v>
      </c>
      <c r="L69" s="395"/>
      <c r="M69" s="386">
        <f>12.2*B69</f>
        <v>0</v>
      </c>
      <c r="N69" s="386"/>
      <c r="O69" s="386"/>
      <c r="P69" s="386"/>
      <c r="Q69" s="386"/>
      <c r="R69" s="386" t="s">
        <v>143</v>
      </c>
      <c r="S69" s="386"/>
      <c r="T69" s="386"/>
      <c r="U69" s="386"/>
      <c r="V69" s="386"/>
      <c r="W69" s="386"/>
      <c r="X69" s="7"/>
      <c r="Y69" s="7"/>
      <c r="Z69" s="7"/>
      <c r="AA69" s="7"/>
      <c r="AB69" s="61"/>
      <c r="AC69" s="61"/>
      <c r="AD69" s="15"/>
      <c r="AE69" s="22"/>
      <c r="AF69" s="12"/>
      <c r="AG69" s="12"/>
      <c r="AI69" s="68">
        <v>6</v>
      </c>
      <c r="AJ69" s="68"/>
      <c r="AK69" s="20">
        <f>AM69*(3.72*2.58-2.72*1.58)+AO69*(2.18^2-1.18^2)*3.14159/4</f>
        <v>25.688403399999999</v>
      </c>
      <c r="AL69" s="69"/>
      <c r="AM69" s="20">
        <v>4.0999999999999996</v>
      </c>
      <c r="AN69" s="20"/>
      <c r="AO69" s="20">
        <f>AI69-AM69-0.4</f>
        <v>1.5000000000000004</v>
      </c>
      <c r="AP69" s="21">
        <f>IF(AO69-0.6&lt;0,0,AO69-0.6)</f>
        <v>0.90000000000000047</v>
      </c>
      <c r="AQ69" s="13"/>
      <c r="AR69" s="13"/>
    </row>
    <row r="70" spans="1:73" ht="26.25" customHeight="1" x14ac:dyDescent="0.15">
      <c r="A70" s="70"/>
      <c r="B70" s="71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61"/>
      <c r="AC70" s="61"/>
      <c r="AD70" s="15"/>
      <c r="AE70" s="22"/>
      <c r="AF70" s="12"/>
      <c r="AG70" s="12"/>
      <c r="AI70" s="68">
        <v>6</v>
      </c>
      <c r="AJ70" s="68"/>
      <c r="AK70" s="20">
        <f>AM70*(3.72*2.58-2.72*1.58)+AO70*(2.18^2-1.18^2)*3.14159/4</f>
        <v>28.349467799999999</v>
      </c>
      <c r="AL70" s="69"/>
      <c r="AM70" s="20">
        <v>5.0999999999999996</v>
      </c>
      <c r="AN70" s="20"/>
      <c r="AO70" s="20">
        <f>AI70-AM70-0.4</f>
        <v>0.50000000000000033</v>
      </c>
      <c r="AP70" s="21">
        <f>IF(AO70-0.6&lt;0,0,AO70-0.6)</f>
        <v>0</v>
      </c>
      <c r="AQ70" s="13"/>
      <c r="AR70" s="13"/>
    </row>
    <row r="71" spans="1:73" ht="20.25" customHeight="1" x14ac:dyDescent="0.15">
      <c r="AD71" s="24"/>
      <c r="AE71" s="24"/>
    </row>
    <row r="72" spans="1:73" ht="15" customHeight="1" x14ac:dyDescent="0.15">
      <c r="AD72" s="25"/>
    </row>
    <row r="73" spans="1:73" x14ac:dyDescent="0.15">
      <c r="I73" s="2"/>
      <c r="J73" s="2"/>
      <c r="AE73" s="25"/>
    </row>
    <row r="74" spans="1:73" ht="24.95" customHeight="1" x14ac:dyDescent="0.15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N74" s="72"/>
      <c r="O74" s="72"/>
      <c r="P74" s="72"/>
      <c r="Q74" s="72"/>
      <c r="R74" s="72"/>
      <c r="S74" s="72"/>
      <c r="T74" s="72"/>
      <c r="U74" s="72"/>
      <c r="V74" s="72"/>
      <c r="X74" s="72"/>
      <c r="Y74" s="72"/>
      <c r="Z74" s="72"/>
      <c r="AC74" s="72"/>
      <c r="AD74" s="72"/>
      <c r="AE74" s="72"/>
      <c r="AF74" s="72"/>
      <c r="AG74" s="72"/>
      <c r="AH74" s="72"/>
      <c r="AI74" s="73"/>
      <c r="AJ74" s="73"/>
      <c r="AK74" s="72"/>
      <c r="AL74" s="73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</row>
    <row r="75" spans="1:73" ht="24.95" customHeight="1" x14ac:dyDescent="0.15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N75" s="72"/>
      <c r="O75" s="72"/>
      <c r="P75" s="72"/>
      <c r="Q75" s="72"/>
      <c r="R75" s="72"/>
      <c r="S75" s="72"/>
      <c r="T75" s="72"/>
      <c r="U75" s="72"/>
      <c r="V75" s="72"/>
      <c r="X75" s="72"/>
      <c r="Y75" s="72"/>
      <c r="Z75" s="72"/>
      <c r="AC75" s="72"/>
      <c r="AD75" s="72"/>
      <c r="AE75" s="72"/>
      <c r="AF75" s="72"/>
      <c r="AG75" s="72"/>
      <c r="AH75" s="72"/>
      <c r="AI75" s="73"/>
      <c r="AJ75" s="73"/>
      <c r="AK75" s="72"/>
      <c r="AL75" s="73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</row>
    <row r="76" spans="1:73" ht="24.95" customHeight="1" x14ac:dyDescent="0.15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4"/>
      <c r="L76" s="74"/>
      <c r="N76" s="72"/>
      <c r="O76" s="72"/>
      <c r="P76" s="72"/>
      <c r="Q76" s="72"/>
      <c r="R76" s="72"/>
      <c r="S76" s="72"/>
      <c r="T76" s="72"/>
      <c r="U76" s="72"/>
      <c r="V76" s="72"/>
      <c r="X76" s="72"/>
      <c r="Y76" s="74"/>
      <c r="Z76" s="74"/>
      <c r="AC76" s="72"/>
      <c r="AD76" s="72"/>
      <c r="AE76" s="72"/>
      <c r="AF76" s="72"/>
      <c r="AG76" s="72"/>
      <c r="AH76" s="72"/>
      <c r="AI76" s="73"/>
      <c r="AJ76" s="73"/>
      <c r="AK76" s="72"/>
      <c r="AL76" s="73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</row>
    <row r="77" spans="1:73" ht="24.95" customHeight="1" x14ac:dyDescent="0.15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N77" s="72"/>
      <c r="O77" s="72"/>
      <c r="P77" s="72"/>
      <c r="Q77" s="74"/>
      <c r="R77" s="74"/>
      <c r="S77" s="72"/>
      <c r="T77" s="72"/>
      <c r="U77" s="72"/>
      <c r="V77" s="72"/>
      <c r="X77" s="72"/>
      <c r="Y77" s="72"/>
      <c r="Z77" s="72"/>
      <c r="AC77" s="72"/>
      <c r="AD77" s="72"/>
      <c r="AE77" s="72"/>
      <c r="AF77" s="72"/>
      <c r="AG77" s="72"/>
      <c r="AH77" s="72"/>
      <c r="AI77" s="73"/>
      <c r="AJ77" s="73"/>
      <c r="AK77" s="72"/>
      <c r="AL77" s="73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</row>
    <row r="78" spans="1:73" ht="24.95" customHeight="1" x14ac:dyDescent="0.15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N78" s="72"/>
      <c r="O78" s="72"/>
      <c r="P78" s="72"/>
      <c r="Q78" s="72"/>
      <c r="R78" s="72"/>
      <c r="S78" s="72"/>
      <c r="T78" s="72"/>
      <c r="U78" s="72"/>
      <c r="V78" s="72"/>
      <c r="X78" s="72"/>
      <c r="Y78" s="72"/>
      <c r="Z78" s="72"/>
      <c r="AC78" s="72"/>
      <c r="AD78" s="72"/>
      <c r="AE78" s="72"/>
      <c r="AF78" s="72"/>
      <c r="AG78" s="72"/>
      <c r="AH78" s="72"/>
      <c r="AI78" s="73"/>
      <c r="AJ78" s="73"/>
      <c r="AK78" s="72"/>
      <c r="AL78" s="73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</row>
    <row r="79" spans="1:73" ht="24.95" customHeight="1" x14ac:dyDescent="0.15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N79" s="72"/>
      <c r="O79" s="72"/>
      <c r="P79" s="72"/>
      <c r="Q79" s="72"/>
      <c r="R79" s="72"/>
      <c r="S79" s="72"/>
      <c r="T79" s="72"/>
      <c r="U79" s="72"/>
      <c r="V79" s="72"/>
      <c r="X79" s="72"/>
      <c r="Y79" s="72"/>
      <c r="Z79" s="72"/>
      <c r="AC79" s="72"/>
      <c r="AD79" s="72"/>
      <c r="AE79" s="72"/>
      <c r="AF79" s="72"/>
      <c r="AG79" s="72"/>
      <c r="AH79" s="72"/>
      <c r="AI79" s="73"/>
      <c r="AJ79" s="73"/>
      <c r="AK79" s="72"/>
      <c r="AL79" s="73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</row>
    <row r="80" spans="1:73" ht="24.95" customHeight="1" x14ac:dyDescent="0.15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4"/>
      <c r="L80" s="74"/>
      <c r="P80" s="72"/>
      <c r="Q80" s="74"/>
      <c r="R80" s="74"/>
      <c r="S80" s="72"/>
      <c r="V80" s="72"/>
      <c r="X80" s="72"/>
      <c r="Y80" s="74"/>
      <c r="Z80" s="74"/>
      <c r="AA80" s="72"/>
      <c r="AB80" s="72"/>
      <c r="AC80" s="72"/>
      <c r="AD80" s="72"/>
      <c r="AE80" s="72"/>
      <c r="AF80" s="72"/>
      <c r="AG80" s="72"/>
      <c r="AH80" s="72"/>
      <c r="AI80" s="73"/>
      <c r="AJ80" s="73"/>
      <c r="AK80" s="72"/>
      <c r="AL80" s="73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</row>
    <row r="81" spans="1:73" ht="24.95" customHeight="1" x14ac:dyDescent="0.15">
      <c r="A81" s="72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P81" s="72"/>
      <c r="Q81" s="72"/>
      <c r="R81" s="72"/>
      <c r="S81" s="72"/>
      <c r="V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3"/>
      <c r="AJ81" s="73"/>
      <c r="AK81" s="72"/>
      <c r="AL81" s="73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</row>
    <row r="82" spans="1:73" ht="24.95" customHeight="1" x14ac:dyDescent="0.15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Q82" s="74"/>
      <c r="R82" s="74"/>
      <c r="S82" s="72"/>
      <c r="V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3"/>
      <c r="AJ82" s="73"/>
      <c r="AK82" s="72"/>
      <c r="AL82" s="73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</row>
    <row r="83" spans="1:73" ht="24.95" customHeight="1" x14ac:dyDescent="0.15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S83" s="72"/>
      <c r="V83" s="72"/>
      <c r="X83" s="72"/>
      <c r="Y83" s="72"/>
      <c r="Z83" s="72"/>
      <c r="AA83" s="72"/>
      <c r="AB83" s="72"/>
      <c r="AC83" s="72"/>
      <c r="AD83" s="75"/>
      <c r="AE83" s="72"/>
      <c r="AF83" s="72"/>
      <c r="AG83" s="72"/>
      <c r="AH83" s="72"/>
      <c r="AI83" s="73"/>
      <c r="AJ83" s="73"/>
      <c r="AK83" s="72"/>
      <c r="AL83" s="73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</row>
    <row r="84" spans="1:73" ht="24.95" customHeight="1" x14ac:dyDescent="0.15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4"/>
      <c r="L84" s="74"/>
      <c r="P84" s="72"/>
      <c r="Q84" s="72"/>
      <c r="R84" s="72"/>
      <c r="S84" s="72"/>
      <c r="V84" s="72"/>
      <c r="X84" s="72"/>
      <c r="Y84" s="72"/>
      <c r="Z84" s="72"/>
      <c r="AA84" s="72"/>
      <c r="AB84" s="72"/>
      <c r="AC84" s="72"/>
      <c r="AD84" s="75"/>
      <c r="AE84" s="72"/>
      <c r="AF84" s="72"/>
      <c r="AG84" s="72"/>
      <c r="AH84" s="72"/>
      <c r="AI84" s="73"/>
      <c r="AJ84" s="73"/>
      <c r="AK84" s="72"/>
      <c r="AL84" s="73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</row>
    <row r="85" spans="1:73" ht="24.95" customHeight="1" x14ac:dyDescent="0.15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P85" s="72"/>
      <c r="Q85" s="72"/>
      <c r="R85" s="72"/>
      <c r="S85" s="72"/>
      <c r="T85" s="72"/>
      <c r="U85" s="72"/>
      <c r="V85" s="72"/>
      <c r="X85" s="72"/>
      <c r="Y85" s="72"/>
      <c r="Z85" s="72"/>
      <c r="AA85" s="72"/>
      <c r="AB85" s="72"/>
      <c r="AC85" s="72"/>
      <c r="AD85" s="75"/>
      <c r="AE85" s="72"/>
      <c r="AF85" s="72"/>
      <c r="AG85" s="72"/>
      <c r="AH85" s="72"/>
      <c r="AI85" s="73"/>
      <c r="AJ85" s="73"/>
      <c r="AK85" s="72"/>
      <c r="AL85" s="73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</row>
    <row r="86" spans="1:73" ht="24.95" customHeight="1" x14ac:dyDescent="0.15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4"/>
      <c r="L86" s="74"/>
      <c r="P86" s="72"/>
      <c r="Q86" s="74"/>
      <c r="R86" s="74"/>
      <c r="S86" s="72"/>
      <c r="T86" s="72"/>
      <c r="U86" s="72"/>
      <c r="V86" s="72"/>
      <c r="X86" s="72"/>
      <c r="Y86" s="72"/>
      <c r="Z86" s="72"/>
      <c r="AA86" s="72"/>
      <c r="AB86" s="72"/>
      <c r="AC86" s="72"/>
      <c r="AD86" s="75"/>
      <c r="AE86" s="72"/>
      <c r="AF86" s="72"/>
      <c r="AG86" s="72"/>
      <c r="AH86" s="72"/>
      <c r="AI86" s="73"/>
      <c r="AJ86" s="73"/>
      <c r="AK86" s="72"/>
      <c r="AL86" s="73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</row>
    <row r="87" spans="1:73" ht="24.95" customHeight="1" x14ac:dyDescent="0.15">
      <c r="A87" s="72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P87" s="72"/>
      <c r="Q87" s="72"/>
      <c r="R87" s="72"/>
      <c r="S87" s="72"/>
      <c r="T87" s="72"/>
      <c r="U87" s="72"/>
      <c r="V87" s="72"/>
      <c r="X87" s="72"/>
      <c r="Y87" s="72"/>
      <c r="Z87" s="72"/>
      <c r="AA87" s="72"/>
      <c r="AB87" s="72"/>
      <c r="AC87" s="72"/>
      <c r="AD87" s="75"/>
      <c r="AE87" s="72"/>
      <c r="AF87" s="72"/>
      <c r="AG87" s="72"/>
      <c r="AH87" s="72"/>
      <c r="AI87" s="73"/>
      <c r="AJ87" s="73"/>
      <c r="AK87" s="72"/>
      <c r="AL87" s="73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</row>
    <row r="88" spans="1:73" ht="24.95" customHeight="1" x14ac:dyDescent="0.15">
      <c r="A88" s="72"/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P88" s="72"/>
      <c r="Q88" s="74"/>
      <c r="R88" s="74"/>
      <c r="S88" s="72"/>
      <c r="T88" s="72"/>
      <c r="U88" s="72"/>
      <c r="V88" s="72"/>
      <c r="X88" s="72"/>
      <c r="Y88" s="72"/>
      <c r="Z88" s="72"/>
      <c r="AA88" s="72"/>
      <c r="AB88" s="72"/>
      <c r="AC88" s="72"/>
      <c r="AD88" s="75"/>
      <c r="AE88" s="72"/>
      <c r="AF88" s="72"/>
      <c r="AG88" s="72"/>
      <c r="AH88" s="72"/>
      <c r="AI88" s="73"/>
      <c r="AJ88" s="73"/>
      <c r="AK88" s="72"/>
      <c r="AL88" s="73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</row>
    <row r="89" spans="1:73" ht="24.95" customHeight="1" x14ac:dyDescent="0.15">
      <c r="A89" s="72"/>
      <c r="B89" s="72"/>
      <c r="C89" s="72"/>
      <c r="D89" s="72"/>
      <c r="E89" s="72"/>
      <c r="F89" s="72"/>
      <c r="G89" s="73"/>
      <c r="H89" s="73"/>
      <c r="I89" s="72"/>
      <c r="J89" s="72"/>
      <c r="K89" s="72"/>
      <c r="L89" s="72"/>
      <c r="M89" s="72"/>
      <c r="P89" s="72"/>
      <c r="Q89" s="72"/>
      <c r="R89" s="72"/>
      <c r="S89" s="72"/>
      <c r="T89" s="72"/>
      <c r="U89" s="72"/>
      <c r="V89" s="72"/>
      <c r="X89" s="72"/>
      <c r="Y89" s="72"/>
      <c r="Z89" s="72"/>
      <c r="AA89" s="72"/>
      <c r="AB89" s="72"/>
      <c r="AC89" s="72"/>
      <c r="AD89" s="75"/>
      <c r="AE89" s="72"/>
      <c r="AF89" s="72"/>
      <c r="AG89" s="72"/>
      <c r="AH89" s="72"/>
      <c r="AI89" s="73"/>
      <c r="AJ89" s="73"/>
      <c r="AK89" s="72"/>
      <c r="AL89" s="73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</row>
    <row r="90" spans="1:73" ht="24.95" customHeight="1" x14ac:dyDescent="0.15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P90" s="72"/>
      <c r="Q90" s="72"/>
      <c r="R90" s="72"/>
      <c r="S90" s="72"/>
      <c r="T90" s="72"/>
      <c r="U90" s="72"/>
      <c r="V90" s="72"/>
      <c r="X90" s="72"/>
      <c r="Y90" s="72"/>
      <c r="Z90" s="72"/>
      <c r="AA90" s="72"/>
      <c r="AB90" s="72"/>
      <c r="AC90" s="72"/>
      <c r="AD90" s="75"/>
      <c r="AE90" s="72"/>
      <c r="AF90" s="72"/>
      <c r="AG90" s="72"/>
      <c r="AH90" s="72"/>
      <c r="AI90" s="73"/>
      <c r="AJ90" s="73"/>
      <c r="AK90" s="72"/>
      <c r="AL90" s="73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</row>
    <row r="91" spans="1:73" ht="24.95" customHeight="1" x14ac:dyDescent="0.15">
      <c r="A91" s="72"/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5"/>
      <c r="AE91" s="72"/>
      <c r="AF91" s="72"/>
      <c r="AG91" s="72"/>
      <c r="AH91" s="72"/>
      <c r="AI91" s="73"/>
      <c r="AJ91" s="73"/>
      <c r="AK91" s="72"/>
      <c r="AL91" s="73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</row>
    <row r="92" spans="1:73" ht="24.95" customHeight="1" x14ac:dyDescent="0.15">
      <c r="A92" s="72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5"/>
      <c r="AE92" s="72"/>
      <c r="AF92" s="72"/>
      <c r="AG92" s="72"/>
      <c r="AH92" s="72"/>
      <c r="AI92" s="73"/>
      <c r="AJ92" s="73"/>
      <c r="AK92" s="72"/>
      <c r="AL92" s="73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</row>
    <row r="93" spans="1:73" ht="24.95" customHeight="1" x14ac:dyDescent="0.15">
      <c r="A93" s="72"/>
      <c r="B93" s="72"/>
      <c r="C93" s="72"/>
      <c r="D93" s="72"/>
      <c r="E93" s="72"/>
      <c r="F93" s="72"/>
      <c r="G93" s="73"/>
      <c r="H93" s="73"/>
      <c r="I93" s="72"/>
      <c r="J93" s="72"/>
      <c r="K93" s="72"/>
      <c r="L93" s="72"/>
      <c r="M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5"/>
      <c r="AE93" s="72"/>
      <c r="AF93" s="72"/>
      <c r="AG93" s="72"/>
      <c r="AH93" s="72"/>
      <c r="AI93" s="73"/>
      <c r="AJ93" s="73"/>
      <c r="AK93" s="72"/>
      <c r="AL93" s="73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</row>
    <row r="94" spans="1:73" ht="24.95" customHeight="1" x14ac:dyDescent="0.15">
      <c r="A94" s="72"/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3"/>
      <c r="AJ94" s="73"/>
      <c r="AK94" s="72"/>
      <c r="AL94" s="73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</row>
    <row r="95" spans="1:73" ht="24.95" customHeight="1" x14ac:dyDescent="0.15">
      <c r="A95" s="72"/>
      <c r="B95" s="72"/>
      <c r="C95" s="72"/>
      <c r="D95" s="72"/>
      <c r="E95" s="72"/>
      <c r="F95" s="72"/>
      <c r="G95" s="73"/>
      <c r="H95" s="73"/>
      <c r="I95" s="72"/>
      <c r="J95" s="72"/>
      <c r="K95" s="72"/>
      <c r="L95" s="72"/>
      <c r="M95" s="72"/>
      <c r="P95" s="76"/>
      <c r="Q95" s="76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3"/>
      <c r="AJ95" s="73"/>
      <c r="AK95" s="72"/>
      <c r="AL95" s="73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</row>
    <row r="96" spans="1:73" ht="24.95" customHeight="1" x14ac:dyDescent="0.15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3"/>
      <c r="AJ96" s="73"/>
      <c r="AK96" s="72"/>
      <c r="AL96" s="73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</row>
    <row r="97" spans="6:31" ht="24.95" customHeight="1" x14ac:dyDescent="0.15">
      <c r="F97" s="72"/>
      <c r="G97" s="76"/>
      <c r="H97" s="76"/>
      <c r="I97" s="72"/>
      <c r="K97" s="77"/>
      <c r="L97" s="77"/>
      <c r="M97" s="72"/>
      <c r="W97" s="72"/>
      <c r="X97" s="72"/>
      <c r="Y97" s="72"/>
      <c r="AE97" s="72"/>
    </row>
    <row r="98" spans="6:31" ht="24.95" customHeight="1" x14ac:dyDescent="0.15">
      <c r="I98" s="72"/>
      <c r="K98" s="72"/>
      <c r="L98" s="72"/>
      <c r="M98" s="72"/>
      <c r="P98" s="72"/>
      <c r="Q98" s="72"/>
      <c r="W98" s="72"/>
      <c r="X98" s="72"/>
      <c r="Y98" s="72"/>
    </row>
    <row r="99" spans="6:31" ht="24.95" customHeight="1" x14ac:dyDescent="0.15">
      <c r="F99" s="28"/>
      <c r="G99" s="72"/>
      <c r="H99" s="72"/>
      <c r="I99" s="72"/>
      <c r="K99" s="72"/>
      <c r="L99" s="72"/>
      <c r="M99" s="72"/>
      <c r="P99" s="72"/>
      <c r="Q99" s="72"/>
      <c r="W99" s="72"/>
      <c r="X99" s="72"/>
      <c r="Y99" s="72"/>
    </row>
    <row r="100" spans="6:31" ht="24.95" customHeight="1" x14ac:dyDescent="0.15">
      <c r="G100" s="73"/>
      <c r="H100" s="73"/>
      <c r="I100" s="72"/>
      <c r="K100" s="72"/>
      <c r="L100" s="72"/>
      <c r="M100" s="72"/>
      <c r="P100" s="72"/>
      <c r="Q100" s="72"/>
      <c r="W100" s="72"/>
      <c r="X100" s="72"/>
      <c r="Y100" s="72"/>
    </row>
    <row r="101" spans="6:31" ht="24.95" customHeight="1" x14ac:dyDescent="0.15">
      <c r="G101" s="72"/>
      <c r="H101" s="72"/>
      <c r="W101" s="72"/>
      <c r="X101" s="72"/>
      <c r="Y101" s="72"/>
    </row>
    <row r="102" spans="6:31" ht="24.95" customHeight="1" x14ac:dyDescent="0.15">
      <c r="F102" s="72"/>
      <c r="G102" s="72"/>
      <c r="H102" s="72"/>
      <c r="I102" s="72"/>
      <c r="J102" s="72"/>
      <c r="K102" s="74"/>
      <c r="L102" s="74"/>
      <c r="M102" s="72"/>
      <c r="Y102" s="72"/>
    </row>
    <row r="103" spans="6:31" ht="24.95" customHeight="1" x14ac:dyDescent="0.15">
      <c r="F103" s="72"/>
      <c r="G103" s="72"/>
      <c r="H103" s="72"/>
      <c r="I103" s="72"/>
      <c r="J103" s="72"/>
      <c r="K103" s="72"/>
      <c r="L103" s="72"/>
      <c r="M103" s="72"/>
    </row>
    <row r="104" spans="6:31" ht="24.95" customHeight="1" x14ac:dyDescent="0.15">
      <c r="F104" s="72"/>
      <c r="G104" s="72"/>
      <c r="H104" s="72"/>
      <c r="I104" s="72"/>
      <c r="J104" s="72"/>
      <c r="K104" s="72"/>
      <c r="L104" s="72"/>
      <c r="M104" s="72"/>
    </row>
    <row r="105" spans="6:31" ht="24.95" customHeight="1" x14ac:dyDescent="0.15">
      <c r="K105" s="74"/>
      <c r="L105" s="74"/>
      <c r="M105" s="72"/>
    </row>
    <row r="106" spans="6:31" ht="24.95" customHeight="1" x14ac:dyDescent="0.15">
      <c r="K106" s="72"/>
      <c r="L106" s="72"/>
      <c r="M106" s="72"/>
    </row>
    <row r="107" spans="6:31" ht="24.95" customHeight="1" x14ac:dyDescent="0.15">
      <c r="K107" s="72"/>
      <c r="L107" s="72"/>
      <c r="M107" s="72"/>
    </row>
    <row r="108" spans="6:31" ht="24.95" customHeight="1" x14ac:dyDescent="0.15">
      <c r="K108" s="72"/>
      <c r="L108" s="72"/>
      <c r="M108" s="72"/>
    </row>
    <row r="109" spans="6:31" ht="24.95" customHeight="1" x14ac:dyDescent="0.15"/>
    <row r="110" spans="6:31" ht="24.95" customHeight="1" x14ac:dyDescent="0.15"/>
    <row r="111" spans="6:31" ht="24.95" customHeight="1" x14ac:dyDescent="0.15"/>
    <row r="112" spans="6:31" ht="24.95" customHeight="1" x14ac:dyDescent="0.15"/>
    <row r="113" ht="24.95" customHeight="1" x14ac:dyDescent="0.15"/>
    <row r="114" ht="24.95" customHeight="1" x14ac:dyDescent="0.15"/>
    <row r="115" ht="24.95" customHeight="1" x14ac:dyDescent="0.15"/>
    <row r="116" ht="24.95" customHeight="1" x14ac:dyDescent="0.15"/>
    <row r="117" ht="24.95" customHeight="1" x14ac:dyDescent="0.15"/>
    <row r="118" ht="24.95" customHeight="1" x14ac:dyDescent="0.15"/>
    <row r="119" ht="24.95" customHeight="1" x14ac:dyDescent="0.15"/>
    <row r="120" ht="24.95" customHeight="1" x14ac:dyDescent="0.15"/>
    <row r="121" ht="24.95" customHeight="1" x14ac:dyDescent="0.15"/>
    <row r="122" ht="24.95" customHeight="1" x14ac:dyDescent="0.15"/>
    <row r="123" ht="24.95" customHeight="1" x14ac:dyDescent="0.15"/>
    <row r="124" ht="24.95" customHeight="1" x14ac:dyDescent="0.15"/>
    <row r="125" ht="24.95" customHeight="1" x14ac:dyDescent="0.15"/>
    <row r="126" ht="24.95" customHeight="1" x14ac:dyDescent="0.15"/>
    <row r="127" ht="24.95" customHeight="1" x14ac:dyDescent="0.15"/>
    <row r="128" ht="24.95" customHeight="1" x14ac:dyDescent="0.15"/>
    <row r="129" ht="24.95" customHeight="1" x14ac:dyDescent="0.15"/>
    <row r="130" ht="24.95" customHeight="1" x14ac:dyDescent="0.15"/>
    <row r="131" ht="24.95" customHeight="1" x14ac:dyDescent="0.15"/>
    <row r="132" ht="24.95" customHeight="1" x14ac:dyDescent="0.15"/>
    <row r="133" ht="24.95" customHeight="1" x14ac:dyDescent="0.15"/>
  </sheetData>
  <mergeCells count="55">
    <mergeCell ref="R68:W68"/>
    <mergeCell ref="R69:W69"/>
    <mergeCell ref="D68:F68"/>
    <mergeCell ref="K68:L68"/>
    <mergeCell ref="M68:Q68"/>
    <mergeCell ref="D69:F69"/>
    <mergeCell ref="K69:L69"/>
    <mergeCell ref="M69:Q69"/>
    <mergeCell ref="A9:AE9"/>
    <mergeCell ref="A18:AE18"/>
    <mergeCell ref="A28:AE28"/>
    <mergeCell ref="A40:AE40"/>
    <mergeCell ref="A59:AE59"/>
    <mergeCell ref="A52:AE52"/>
    <mergeCell ref="AO8:AP8"/>
    <mergeCell ref="N4:N6"/>
    <mergeCell ref="O4:O6"/>
    <mergeCell ref="P4:P6"/>
    <mergeCell ref="Q4:Q6"/>
    <mergeCell ref="Z4:Z6"/>
    <mergeCell ref="AA4:AA6"/>
    <mergeCell ref="AB4:AB6"/>
    <mergeCell ref="AC4:AC6"/>
    <mergeCell ref="T5:T6"/>
    <mergeCell ref="U5:U6"/>
    <mergeCell ref="X5:X6"/>
    <mergeCell ref="Y5:Y6"/>
    <mergeCell ref="R4:R6"/>
    <mergeCell ref="S4:S6"/>
    <mergeCell ref="T4:U4"/>
    <mergeCell ref="W4:W6"/>
    <mergeCell ref="X4:Y4"/>
    <mergeCell ref="L4:L5"/>
    <mergeCell ref="K1:X1"/>
    <mergeCell ref="G4:G6"/>
    <mergeCell ref="H4:H6"/>
    <mergeCell ref="I4:J5"/>
    <mergeCell ref="K4:K5"/>
    <mergeCell ref="M4:M5"/>
    <mergeCell ref="AD2:AE2"/>
    <mergeCell ref="A3:A7"/>
    <mergeCell ref="B3:B6"/>
    <mergeCell ref="C3:C7"/>
    <mergeCell ref="E3:F3"/>
    <mergeCell ref="K3:O3"/>
    <mergeCell ref="P3:R3"/>
    <mergeCell ref="S3:V3"/>
    <mergeCell ref="W3:Y3"/>
    <mergeCell ref="Z3:AC3"/>
    <mergeCell ref="AD3:AD6"/>
    <mergeCell ref="AE3:AE7"/>
    <mergeCell ref="D4:D6"/>
    <mergeCell ref="E4:E6"/>
    <mergeCell ref="F4:F6"/>
    <mergeCell ref="V4:V6"/>
  </mergeCells>
  <phoneticPr fontId="2" type="noConversion"/>
  <printOptions horizontalCentered="1"/>
  <pageMargins left="0.86614173228346458" right="0.35433070866141736" top="0.98425196850393704" bottom="0.70866141732283472" header="0.51181102362204722" footer="0.51181102362204722"/>
  <pageSetup paperSize="8" scale="75" orientation="landscape" horizontalDpi="180" verticalDpi="18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W138"/>
  <sheetViews>
    <sheetView view="pageBreakPreview" topLeftCell="A2" zoomScale="85" zoomScaleNormal="100" zoomScaleSheetLayoutView="85" workbookViewId="0">
      <selection activeCell="F85" sqref="F85"/>
    </sheetView>
  </sheetViews>
  <sheetFormatPr defaultColWidth="9" defaultRowHeight="14.25" x14ac:dyDescent="0.15"/>
  <cols>
    <col min="1" max="1" width="28.5" style="1" customWidth="1"/>
    <col min="2" max="2" width="5.75" style="1" customWidth="1"/>
    <col min="3" max="3" width="23.25" style="1" customWidth="1"/>
    <col min="4" max="4" width="11" style="1" customWidth="1"/>
    <col min="5" max="5" width="9.25" style="1" customWidth="1"/>
    <col min="6" max="6" width="11.625" style="2" customWidth="1"/>
    <col min="7" max="7" width="9.375" style="1" hidden="1" customWidth="1"/>
    <col min="8" max="8" width="8.25" style="1" hidden="1" customWidth="1"/>
    <col min="9" max="9" width="9.5" style="1" hidden="1" customWidth="1"/>
    <col min="10" max="10" width="10.25" style="1" hidden="1" customWidth="1"/>
    <col min="11" max="12" width="15.875" style="1" customWidth="1"/>
    <col min="13" max="14" width="13.5" style="1" customWidth="1"/>
    <col min="15" max="15" width="14.375" style="1" customWidth="1"/>
    <col min="16" max="16" width="7.125" style="1" hidden="1" customWidth="1"/>
    <col min="17" max="17" width="6.5" style="1" hidden="1" customWidth="1"/>
    <col min="18" max="18" width="8.5" style="1" hidden="1" customWidth="1"/>
    <col min="19" max="19" width="8.375" style="1" hidden="1" customWidth="1"/>
    <col min="20" max="20" width="6.875" style="1" hidden="1" customWidth="1"/>
    <col min="21" max="22" width="7.875" style="1" customWidth="1"/>
    <col min="23" max="23" width="8.875" style="1" customWidth="1"/>
    <col min="24" max="24" width="7.875" style="1" customWidth="1"/>
    <col min="25" max="25" width="8.75" style="1" customWidth="1"/>
    <col min="26" max="26" width="9.25" style="1" customWidth="1"/>
    <col min="27" max="27" width="9.375" style="1" customWidth="1"/>
    <col min="28" max="28" width="9" style="1" customWidth="1"/>
    <col min="29" max="31" width="7.5" style="1" customWidth="1"/>
    <col min="32" max="32" width="11.375" style="1" customWidth="1"/>
    <col min="33" max="33" width="11" style="1" customWidth="1"/>
    <col min="34" max="35" width="6.75" style="1" customWidth="1"/>
    <col min="36" max="36" width="22.125" style="1" customWidth="1"/>
    <col min="37" max="37" width="11.75" style="44" customWidth="1"/>
    <col min="38" max="38" width="20.5" style="44" customWidth="1"/>
    <col min="39" max="39" width="16" style="1" customWidth="1"/>
    <col min="40" max="40" width="13" style="44" customWidth="1"/>
    <col min="41" max="41" width="12" style="1" customWidth="1"/>
    <col min="42" max="42" width="12.5" style="1" customWidth="1"/>
    <col min="43" max="43" width="10.625" style="1" customWidth="1"/>
    <col min="44" max="44" width="10.875" style="3" customWidth="1"/>
    <col min="45" max="51" width="8.625" style="1" customWidth="1"/>
    <col min="52" max="54" width="9.125" style="1" customWidth="1"/>
    <col min="55" max="56" width="8.625" style="1" customWidth="1"/>
    <col min="57" max="61" width="9" style="1"/>
    <col min="62" max="62" width="10.625" style="1" customWidth="1"/>
    <col min="63" max="16384" width="9" style="1"/>
  </cols>
  <sheetData>
    <row r="1" spans="1:45" ht="20.25" x14ac:dyDescent="0.25">
      <c r="F1" s="368" t="s">
        <v>313</v>
      </c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  <c r="Y1" s="368"/>
      <c r="Z1" s="368"/>
    </row>
    <row r="2" spans="1:45" ht="20.25" x14ac:dyDescent="0.25">
      <c r="F2" s="238"/>
      <c r="G2" s="238"/>
      <c r="H2" s="238"/>
      <c r="I2" s="238"/>
      <c r="J2" s="238"/>
      <c r="K2" s="238"/>
      <c r="L2" s="238"/>
      <c r="M2" s="238"/>
      <c r="N2" s="37" t="s">
        <v>154</v>
      </c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</row>
    <row r="3" spans="1:45" ht="26.25" customHeight="1" x14ac:dyDescent="0.15">
      <c r="A3" s="37" t="s">
        <v>404</v>
      </c>
      <c r="B3" s="4"/>
      <c r="C3" s="4"/>
      <c r="D3" s="4"/>
      <c r="E3" s="4"/>
      <c r="F3" s="4"/>
      <c r="G3" s="4"/>
      <c r="H3" s="45"/>
      <c r="I3" s="45"/>
      <c r="J3" s="45"/>
      <c r="AF3" s="346" t="s">
        <v>408</v>
      </c>
      <c r="AG3" s="347"/>
    </row>
    <row r="4" spans="1:45" ht="23.25" customHeight="1" x14ac:dyDescent="0.15">
      <c r="A4" s="348" t="s">
        <v>1</v>
      </c>
      <c r="B4" s="348" t="s">
        <v>2</v>
      </c>
      <c r="C4" s="349" t="s">
        <v>55</v>
      </c>
      <c r="D4" s="41" t="s">
        <v>94</v>
      </c>
      <c r="E4" s="348" t="s">
        <v>95</v>
      </c>
      <c r="F4" s="348"/>
      <c r="G4" s="230"/>
      <c r="H4" s="230"/>
      <c r="I4" s="230"/>
      <c r="J4" s="230"/>
      <c r="K4" s="396" t="s">
        <v>3</v>
      </c>
      <c r="L4" s="396"/>
      <c r="M4" s="396"/>
      <c r="N4" s="396"/>
      <c r="O4" s="396"/>
      <c r="P4" s="396"/>
      <c r="Q4" s="396"/>
      <c r="R4" s="348" t="s">
        <v>56</v>
      </c>
      <c r="S4" s="348"/>
      <c r="T4" s="348"/>
      <c r="U4" s="348" t="s">
        <v>92</v>
      </c>
      <c r="V4" s="348"/>
      <c r="W4" s="348"/>
      <c r="X4" s="348"/>
      <c r="Y4" s="348" t="s">
        <v>4</v>
      </c>
      <c r="Z4" s="348"/>
      <c r="AA4" s="348"/>
      <c r="AB4" s="348" t="s">
        <v>57</v>
      </c>
      <c r="AC4" s="348"/>
      <c r="AD4" s="348"/>
      <c r="AE4" s="348"/>
      <c r="AF4" s="356" t="s">
        <v>247</v>
      </c>
      <c r="AG4" s="348" t="s">
        <v>6</v>
      </c>
    </row>
    <row r="5" spans="1:45" ht="15" customHeight="1" x14ac:dyDescent="0.2">
      <c r="A5" s="348"/>
      <c r="B5" s="348"/>
      <c r="C5" s="349"/>
      <c r="D5" s="357" t="s">
        <v>246</v>
      </c>
      <c r="E5" s="358" t="s">
        <v>97</v>
      </c>
      <c r="F5" s="357" t="s">
        <v>98</v>
      </c>
      <c r="G5" s="356" t="s">
        <v>58</v>
      </c>
      <c r="H5" s="356" t="s">
        <v>7</v>
      </c>
      <c r="I5" s="349" t="s">
        <v>8</v>
      </c>
      <c r="J5" s="349"/>
      <c r="K5" s="356" t="s">
        <v>151</v>
      </c>
      <c r="L5" s="357" t="s">
        <v>98</v>
      </c>
      <c r="M5" s="356" t="s">
        <v>153</v>
      </c>
      <c r="N5" s="356" t="s">
        <v>146</v>
      </c>
      <c r="O5" s="356" t="s">
        <v>155</v>
      </c>
      <c r="P5" s="396" t="s">
        <v>60</v>
      </c>
      <c r="Q5" s="396" t="s">
        <v>61</v>
      </c>
      <c r="R5" s="349" t="s">
        <v>62</v>
      </c>
      <c r="S5" s="349" t="s">
        <v>63</v>
      </c>
      <c r="T5" s="356" t="s">
        <v>64</v>
      </c>
      <c r="U5" s="356" t="s">
        <v>65</v>
      </c>
      <c r="V5" s="356" t="s">
        <v>66</v>
      </c>
      <c r="W5" s="356"/>
      <c r="X5" s="356" t="s">
        <v>147</v>
      </c>
      <c r="Y5" s="366" t="s">
        <v>99</v>
      </c>
      <c r="Z5" s="367" t="s">
        <v>9</v>
      </c>
      <c r="AA5" s="367"/>
      <c r="AB5" s="380" t="s">
        <v>10</v>
      </c>
      <c r="AC5" s="380" t="s">
        <v>11</v>
      </c>
      <c r="AD5" s="356" t="s">
        <v>12</v>
      </c>
      <c r="AE5" s="356" t="s">
        <v>13</v>
      </c>
      <c r="AF5" s="356"/>
      <c r="AG5" s="348"/>
    </row>
    <row r="6" spans="1:45" ht="15" customHeight="1" x14ac:dyDescent="0.15">
      <c r="A6" s="348"/>
      <c r="B6" s="348"/>
      <c r="C6" s="349"/>
      <c r="D6" s="358"/>
      <c r="E6" s="357"/>
      <c r="F6" s="357"/>
      <c r="G6" s="356"/>
      <c r="H6" s="356"/>
      <c r="I6" s="349"/>
      <c r="J6" s="349"/>
      <c r="K6" s="356"/>
      <c r="L6" s="357"/>
      <c r="M6" s="356"/>
      <c r="N6" s="356"/>
      <c r="O6" s="396"/>
      <c r="P6" s="396"/>
      <c r="Q6" s="396"/>
      <c r="R6" s="349"/>
      <c r="S6" s="349"/>
      <c r="T6" s="356"/>
      <c r="U6" s="356"/>
      <c r="V6" s="356" t="s">
        <v>67</v>
      </c>
      <c r="W6" s="356" t="s">
        <v>68</v>
      </c>
      <c r="X6" s="356"/>
      <c r="Y6" s="366"/>
      <c r="Z6" s="348" t="s">
        <v>14</v>
      </c>
      <c r="AA6" s="348" t="s">
        <v>15</v>
      </c>
      <c r="AB6" s="380"/>
      <c r="AC6" s="380"/>
      <c r="AD6" s="356"/>
      <c r="AE6" s="356"/>
      <c r="AF6" s="356"/>
      <c r="AG6" s="348"/>
    </row>
    <row r="7" spans="1:45" ht="15" customHeight="1" x14ac:dyDescent="0.15">
      <c r="A7" s="348"/>
      <c r="B7" s="348"/>
      <c r="C7" s="349"/>
      <c r="D7" s="358"/>
      <c r="E7" s="357"/>
      <c r="F7" s="357"/>
      <c r="G7" s="356"/>
      <c r="H7" s="356"/>
      <c r="I7" s="48" t="s">
        <v>16</v>
      </c>
      <c r="J7" s="49" t="s">
        <v>15</v>
      </c>
      <c r="K7" s="48" t="s">
        <v>17</v>
      </c>
      <c r="L7" s="48" t="s">
        <v>17</v>
      </c>
      <c r="M7" s="48" t="s">
        <v>152</v>
      </c>
      <c r="N7" s="48" t="s">
        <v>18</v>
      </c>
      <c r="O7" s="48" t="s">
        <v>18</v>
      </c>
      <c r="P7" s="396"/>
      <c r="Q7" s="396"/>
      <c r="R7" s="349"/>
      <c r="S7" s="349"/>
      <c r="T7" s="356"/>
      <c r="U7" s="356"/>
      <c r="V7" s="356"/>
      <c r="W7" s="356"/>
      <c r="X7" s="356"/>
      <c r="Y7" s="366"/>
      <c r="Z7" s="348"/>
      <c r="AA7" s="348"/>
      <c r="AB7" s="380"/>
      <c r="AC7" s="380"/>
      <c r="AD7" s="356"/>
      <c r="AE7" s="356"/>
      <c r="AF7" s="356"/>
      <c r="AG7" s="348"/>
    </row>
    <row r="8" spans="1:45" ht="15" customHeight="1" x14ac:dyDescent="0.15">
      <c r="A8" s="348"/>
      <c r="B8" s="41" t="s">
        <v>19</v>
      </c>
      <c r="C8" s="349"/>
      <c r="D8" s="6" t="s">
        <v>20</v>
      </c>
      <c r="E8" s="6" t="s">
        <v>20</v>
      </c>
      <c r="F8" s="41" t="s">
        <v>21</v>
      </c>
      <c r="G8" s="41" t="s">
        <v>20</v>
      </c>
      <c r="H8" s="41" t="s">
        <v>69</v>
      </c>
      <c r="I8" s="41" t="s">
        <v>21</v>
      </c>
      <c r="J8" s="41" t="s">
        <v>21</v>
      </c>
      <c r="K8" s="48" t="s">
        <v>22</v>
      </c>
      <c r="L8" s="41" t="s">
        <v>21</v>
      </c>
      <c r="M8" s="48" t="s">
        <v>22</v>
      </c>
      <c r="N8" s="48" t="s">
        <v>22</v>
      </c>
      <c r="O8" s="41" t="s">
        <v>21</v>
      </c>
      <c r="P8" s="48" t="s">
        <v>71</v>
      </c>
      <c r="Q8" s="48" t="s">
        <v>71</v>
      </c>
      <c r="R8" s="48" t="s">
        <v>22</v>
      </c>
      <c r="S8" s="41" t="s">
        <v>21</v>
      </c>
      <c r="T8" s="41" t="s">
        <v>23</v>
      </c>
      <c r="U8" s="48" t="s">
        <v>22</v>
      </c>
      <c r="V8" s="41" t="s">
        <v>21</v>
      </c>
      <c r="W8" s="41" t="s">
        <v>21</v>
      </c>
      <c r="X8" s="41" t="s">
        <v>23</v>
      </c>
      <c r="Y8" s="41" t="s">
        <v>20</v>
      </c>
      <c r="Z8" s="41" t="s">
        <v>21</v>
      </c>
      <c r="AA8" s="41" t="s">
        <v>21</v>
      </c>
      <c r="AB8" s="50" t="s">
        <v>24</v>
      </c>
      <c r="AC8" s="51" t="s">
        <v>25</v>
      </c>
      <c r="AD8" s="52" t="s">
        <v>24</v>
      </c>
      <c r="AE8" s="48" t="s">
        <v>54</v>
      </c>
      <c r="AF8" s="41" t="s">
        <v>26</v>
      </c>
      <c r="AG8" s="348"/>
    </row>
    <row r="9" spans="1:45" ht="21.95" customHeight="1" x14ac:dyDescent="0.1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/>
      <c r="O9" s="7">
        <v>14</v>
      </c>
      <c r="P9" s="7">
        <v>15</v>
      </c>
      <c r="Q9" s="7">
        <v>16</v>
      </c>
      <c r="R9" s="7">
        <v>17</v>
      </c>
      <c r="S9" s="7">
        <v>18</v>
      </c>
      <c r="T9" s="7">
        <v>19</v>
      </c>
      <c r="U9" s="7">
        <v>20</v>
      </c>
      <c r="V9" s="7">
        <v>21</v>
      </c>
      <c r="W9" s="7">
        <v>22</v>
      </c>
      <c r="X9" s="7">
        <v>23</v>
      </c>
      <c r="Y9" s="7">
        <v>24</v>
      </c>
      <c r="Z9" s="7">
        <v>25</v>
      </c>
      <c r="AA9" s="7">
        <v>26</v>
      </c>
      <c r="AB9" s="7">
        <v>27</v>
      </c>
      <c r="AC9" s="7">
        <v>28</v>
      </c>
      <c r="AD9" s="7">
        <v>29</v>
      </c>
      <c r="AE9" s="7">
        <v>30</v>
      </c>
      <c r="AF9" s="7">
        <v>31</v>
      </c>
      <c r="AG9" s="7">
        <v>32</v>
      </c>
      <c r="AK9" s="53"/>
      <c r="AL9" s="53"/>
      <c r="AM9" s="43"/>
      <c r="AN9" s="54"/>
      <c r="AO9" s="43"/>
      <c r="AP9" s="43"/>
      <c r="AQ9" s="373" t="s">
        <v>72</v>
      </c>
      <c r="AR9" s="373"/>
      <c r="AS9" s="27"/>
    </row>
    <row r="10" spans="1:45" ht="21.95" hidden="1" customHeight="1" x14ac:dyDescent="0.15">
      <c r="A10" s="383" t="s">
        <v>100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383"/>
      <c r="Z10" s="383"/>
      <c r="AA10" s="383"/>
      <c r="AB10" s="383"/>
      <c r="AC10" s="383"/>
      <c r="AD10" s="383"/>
      <c r="AE10" s="383"/>
      <c r="AF10" s="383"/>
      <c r="AG10" s="383"/>
      <c r="AK10" s="53" t="s">
        <v>73</v>
      </c>
      <c r="AL10" s="55" t="s">
        <v>74</v>
      </c>
      <c r="AM10" s="43" t="s">
        <v>75</v>
      </c>
      <c r="AN10" s="56" t="s">
        <v>101</v>
      </c>
      <c r="AO10" s="43" t="s">
        <v>76</v>
      </c>
      <c r="AP10" s="43" t="s">
        <v>77</v>
      </c>
      <c r="AQ10" s="43" t="s">
        <v>78</v>
      </c>
      <c r="AR10" s="57" t="s">
        <v>79</v>
      </c>
      <c r="AS10" s="40"/>
    </row>
    <row r="11" spans="1:45" ht="21.95" hidden="1" customHeight="1" x14ac:dyDescent="0.15">
      <c r="A11" s="58" t="s">
        <v>102</v>
      </c>
      <c r="B11" s="59"/>
      <c r="C11" s="7" t="s">
        <v>103</v>
      </c>
      <c r="D11" s="60">
        <f>0.25*B11</f>
        <v>0</v>
      </c>
      <c r="E11" s="60">
        <f>0.33*B11</f>
        <v>0</v>
      </c>
      <c r="F11" s="60">
        <f>(B11)*13.96</f>
        <v>0</v>
      </c>
      <c r="G11" s="60">
        <v>0</v>
      </c>
      <c r="H11" s="60">
        <v>0</v>
      </c>
      <c r="I11" s="60">
        <f t="shared" ref="I11:I17" si="0">7.6*B11</f>
        <v>0</v>
      </c>
      <c r="J11" s="60">
        <f t="shared" ref="J11:J17" si="1">IF(AK11&lt;=4,B11*(86.5-7.6),B11*(115.7-7.6))</f>
        <v>0</v>
      </c>
      <c r="K11" s="60">
        <f>B11*1.76</f>
        <v>0</v>
      </c>
      <c r="L11" s="60"/>
      <c r="M11" s="60">
        <f>1.85*B11</f>
        <v>0</v>
      </c>
      <c r="N11" s="60"/>
      <c r="O11" s="60">
        <f>0.71*B11*AM11</f>
        <v>0</v>
      </c>
      <c r="P11" s="60">
        <f t="shared" ref="P11:P17" si="2">AO11</f>
        <v>1.83</v>
      </c>
      <c r="Q11" s="60">
        <f t="shared" ref="Q11:Q17" si="3">AM11</f>
        <v>1.0499999999999998</v>
      </c>
      <c r="R11" s="60">
        <f t="shared" ref="R11:R17" si="4">0.253*0.1*B11</f>
        <v>0</v>
      </c>
      <c r="S11" s="60">
        <f t="shared" ref="S11:S17" si="5">2.53*0.395*B11</f>
        <v>0</v>
      </c>
      <c r="T11" s="61">
        <f t="shared" ref="T11:T17" si="6">B11</f>
        <v>0</v>
      </c>
      <c r="U11" s="60">
        <f t="shared" ref="U11:U17" si="7">0.167*B11</f>
        <v>0</v>
      </c>
      <c r="V11" s="60">
        <f t="shared" ref="V11:V17" si="8">5.14*B11</f>
        <v>0</v>
      </c>
      <c r="W11" s="60">
        <f t="shared" ref="W11:W17" si="9">(31.2-5.14)*B11</f>
        <v>0</v>
      </c>
      <c r="X11" s="61">
        <f t="shared" ref="X11:X17" si="10">B11</f>
        <v>0</v>
      </c>
      <c r="Y11" s="60">
        <f>IF(AN11=0.14,0.15*B11,IF(AN11=0.16,0.17*B11))</f>
        <v>0</v>
      </c>
      <c r="Z11" s="60">
        <v>0</v>
      </c>
      <c r="AA11" s="60">
        <f>26.99*B11</f>
        <v>0</v>
      </c>
      <c r="AB11" s="8">
        <f t="shared" ref="AB11:AB17" si="11">AK11/0.36*B11</f>
        <v>0</v>
      </c>
      <c r="AC11" s="8">
        <f t="shared" ref="AC11:AC17" si="12">B11*1</f>
        <v>0</v>
      </c>
      <c r="AD11" s="8">
        <f t="shared" ref="AD11:AD17" si="13">AC11</f>
        <v>0</v>
      </c>
      <c r="AE11" s="8">
        <f t="shared" ref="AE11:AE17" si="14">8*B11</f>
        <v>0</v>
      </c>
      <c r="AF11" s="9">
        <f t="shared" ref="AF11:AF17" si="15">IF(AM11&gt;=AL11,((AM11-AL11)*AQ11+AP11*AR11)*B11,((AP11+AM11-AL11)*AR11)*B11)</f>
        <v>0</v>
      </c>
      <c r="AG11" s="7"/>
      <c r="AJ11" s="26"/>
      <c r="AK11" s="55">
        <v>3</v>
      </c>
      <c r="AL11" s="55">
        <v>0.24</v>
      </c>
      <c r="AM11" s="38">
        <f>IF(AK11+0.02-AO11-0.16&gt;=0.4,AK11+0.02-AO11-0.14,0.4)</f>
        <v>1.0499999999999998</v>
      </c>
      <c r="AN11" s="62">
        <f>IF(AND(AM11&gt;=0.8,AM11&lt;=2),0.14,0.16)</f>
        <v>0.14000000000000001</v>
      </c>
      <c r="AO11" s="38">
        <v>1.83</v>
      </c>
      <c r="AP11" s="38">
        <f t="shared" ref="AP11:AP17" si="16">AK11-AM11-0.6-0.06</f>
        <v>1.29</v>
      </c>
      <c r="AQ11" s="38">
        <v>2.64</v>
      </c>
      <c r="AR11" s="38">
        <f>3.14*(0.5+0.24+0.5)^2-3.14*(0.5+0.24)^2</f>
        <v>3.1086000000000005</v>
      </c>
      <c r="AS11" s="63"/>
    </row>
    <row r="12" spans="1:45" ht="21.95" hidden="1" customHeight="1" x14ac:dyDescent="0.15">
      <c r="A12" s="58" t="s">
        <v>102</v>
      </c>
      <c r="B12" s="59"/>
      <c r="C12" s="7" t="s">
        <v>104</v>
      </c>
      <c r="D12" s="60">
        <f t="shared" ref="D12:D14" si="17">0.25*B12</f>
        <v>0</v>
      </c>
      <c r="E12" s="60">
        <f t="shared" ref="E12:E14" si="18">0.33*B12</f>
        <v>0</v>
      </c>
      <c r="F12" s="60">
        <f t="shared" ref="F12:F14" si="19">(B12)*13.96</f>
        <v>0</v>
      </c>
      <c r="G12" s="60">
        <v>0</v>
      </c>
      <c r="H12" s="60">
        <v>0</v>
      </c>
      <c r="I12" s="60">
        <f t="shared" si="0"/>
        <v>0</v>
      </c>
      <c r="J12" s="60">
        <f t="shared" si="1"/>
        <v>0</v>
      </c>
      <c r="K12" s="60">
        <f>B12*1.76</f>
        <v>0</v>
      </c>
      <c r="L12" s="60"/>
      <c r="M12" s="60">
        <f>2.07*B12</f>
        <v>0</v>
      </c>
      <c r="N12" s="60"/>
      <c r="O12" s="60">
        <f t="shared" ref="O12:O17" si="20">0.71*B12*AM12</f>
        <v>0</v>
      </c>
      <c r="P12" s="60">
        <f t="shared" si="2"/>
        <v>1.83</v>
      </c>
      <c r="Q12" s="60">
        <f t="shared" si="3"/>
        <v>1.0599999999999996</v>
      </c>
      <c r="R12" s="60">
        <f t="shared" si="4"/>
        <v>0</v>
      </c>
      <c r="S12" s="60">
        <f t="shared" si="5"/>
        <v>0</v>
      </c>
      <c r="T12" s="61">
        <f t="shared" si="6"/>
        <v>0</v>
      </c>
      <c r="U12" s="60">
        <f t="shared" si="7"/>
        <v>0</v>
      </c>
      <c r="V12" s="60">
        <f t="shared" si="8"/>
        <v>0</v>
      </c>
      <c r="W12" s="60">
        <f t="shared" si="9"/>
        <v>0</v>
      </c>
      <c r="X12" s="61">
        <f t="shared" si="10"/>
        <v>0</v>
      </c>
      <c r="Y12" s="60">
        <f>IF(AN12=0.14,0.15*B12,IF(AN12=0.16,0.17*B12))</f>
        <v>0</v>
      </c>
      <c r="Z12" s="60">
        <v>0</v>
      </c>
      <c r="AA12" s="60">
        <f>26.99*B12</f>
        <v>0</v>
      </c>
      <c r="AB12" s="8">
        <f t="shared" si="11"/>
        <v>0</v>
      </c>
      <c r="AC12" s="8">
        <f t="shared" si="12"/>
        <v>0</v>
      </c>
      <c r="AD12" s="8">
        <f t="shared" si="13"/>
        <v>0</v>
      </c>
      <c r="AE12" s="8">
        <f t="shared" si="14"/>
        <v>0</v>
      </c>
      <c r="AF12" s="9">
        <f t="shared" si="15"/>
        <v>0</v>
      </c>
      <c r="AG12" s="7"/>
      <c r="AJ12" s="26"/>
      <c r="AK12" s="55">
        <v>3</v>
      </c>
      <c r="AL12" s="55">
        <v>0.24</v>
      </c>
      <c r="AM12" s="38">
        <f>IF(AK12+0.03-AO12-0.16&gt;=0.4,AK12+0.03-AO12-0.14,0.4)</f>
        <v>1.0599999999999996</v>
      </c>
      <c r="AN12" s="62">
        <f t="shared" ref="AN12:AN14" si="21">IF(AND(AM12&gt;=0.8,AM12&lt;=2),0.14,0.16)</f>
        <v>0.14000000000000001</v>
      </c>
      <c r="AO12" s="38">
        <v>1.83</v>
      </c>
      <c r="AP12" s="38">
        <f t="shared" si="16"/>
        <v>1.2800000000000002</v>
      </c>
      <c r="AQ12" s="38">
        <v>2.64</v>
      </c>
      <c r="AR12" s="38">
        <f t="shared" ref="AR12:AR14" si="22">3.14*(0.5+0.24+0.5)^2-3.14*(0.5+0.24)^2</f>
        <v>3.1086000000000005</v>
      </c>
      <c r="AS12" s="63"/>
    </row>
    <row r="13" spans="1:45" ht="21.95" hidden="1" customHeight="1" x14ac:dyDescent="0.15">
      <c r="A13" s="58" t="s">
        <v>102</v>
      </c>
      <c r="B13" s="59"/>
      <c r="C13" s="7" t="s">
        <v>84</v>
      </c>
      <c r="D13" s="60">
        <f t="shared" si="17"/>
        <v>0</v>
      </c>
      <c r="E13" s="60">
        <f t="shared" si="18"/>
        <v>0</v>
      </c>
      <c r="F13" s="60">
        <f t="shared" si="19"/>
        <v>0</v>
      </c>
      <c r="G13" s="60">
        <v>0</v>
      </c>
      <c r="H13" s="60">
        <v>0</v>
      </c>
      <c r="I13" s="60">
        <f t="shared" si="0"/>
        <v>0</v>
      </c>
      <c r="J13" s="60">
        <f t="shared" si="1"/>
        <v>0</v>
      </c>
      <c r="K13" s="60">
        <f>B13*1.75</f>
        <v>0</v>
      </c>
      <c r="L13" s="60"/>
      <c r="M13" s="60">
        <f>2.3*B13</f>
        <v>0</v>
      </c>
      <c r="N13" s="60"/>
      <c r="O13" s="60">
        <f t="shared" si="20"/>
        <v>0</v>
      </c>
      <c r="P13" s="60">
        <f t="shared" si="2"/>
        <v>1.84</v>
      </c>
      <c r="Q13" s="60">
        <f t="shared" si="3"/>
        <v>1.06</v>
      </c>
      <c r="R13" s="60">
        <f t="shared" si="4"/>
        <v>0</v>
      </c>
      <c r="S13" s="60">
        <f t="shared" si="5"/>
        <v>0</v>
      </c>
      <c r="T13" s="61">
        <f t="shared" si="6"/>
        <v>0</v>
      </c>
      <c r="U13" s="60">
        <f t="shared" si="7"/>
        <v>0</v>
      </c>
      <c r="V13" s="60">
        <f t="shared" si="8"/>
        <v>0</v>
      </c>
      <c r="W13" s="60">
        <f t="shared" si="9"/>
        <v>0</v>
      </c>
      <c r="X13" s="61">
        <f t="shared" si="10"/>
        <v>0</v>
      </c>
      <c r="Y13" s="60">
        <f>IF(AN13=0.14,0.15*B13,IF(AN13=0.16,0.17*B13))</f>
        <v>0</v>
      </c>
      <c r="Z13" s="60">
        <v>0</v>
      </c>
      <c r="AA13" s="60">
        <f>26.99*B13</f>
        <v>0</v>
      </c>
      <c r="AB13" s="8">
        <f t="shared" si="11"/>
        <v>0</v>
      </c>
      <c r="AC13" s="8">
        <f t="shared" si="12"/>
        <v>0</v>
      </c>
      <c r="AD13" s="8">
        <f t="shared" si="13"/>
        <v>0</v>
      </c>
      <c r="AE13" s="8">
        <f t="shared" si="14"/>
        <v>0</v>
      </c>
      <c r="AF13" s="9">
        <f t="shared" si="15"/>
        <v>0</v>
      </c>
      <c r="AG13" s="7"/>
      <c r="AJ13" s="26"/>
      <c r="AK13" s="55">
        <v>3</v>
      </c>
      <c r="AL13" s="55">
        <v>0.24</v>
      </c>
      <c r="AM13" s="38">
        <f>IF(AK13+0.04-AO13-0.16&gt;=0.4,AK13+0.04-AO13-0.14,0.4)</f>
        <v>1.06</v>
      </c>
      <c r="AN13" s="62">
        <f t="shared" si="21"/>
        <v>0.14000000000000001</v>
      </c>
      <c r="AO13" s="38">
        <v>1.84</v>
      </c>
      <c r="AP13" s="38">
        <f t="shared" si="16"/>
        <v>1.2799999999999998</v>
      </c>
      <c r="AQ13" s="38">
        <v>2.64</v>
      </c>
      <c r="AR13" s="38">
        <f t="shared" si="22"/>
        <v>3.1086000000000005</v>
      </c>
      <c r="AS13" s="63"/>
    </row>
    <row r="14" spans="1:45" ht="21.95" hidden="1" customHeight="1" x14ac:dyDescent="0.15">
      <c r="A14" s="58" t="s">
        <v>102</v>
      </c>
      <c r="B14" s="59"/>
      <c r="C14" s="7" t="s">
        <v>105</v>
      </c>
      <c r="D14" s="60">
        <f t="shared" si="17"/>
        <v>0</v>
      </c>
      <c r="E14" s="60">
        <f t="shared" si="18"/>
        <v>0</v>
      </c>
      <c r="F14" s="60">
        <f t="shared" si="19"/>
        <v>0</v>
      </c>
      <c r="G14" s="60">
        <v>0</v>
      </c>
      <c r="H14" s="60">
        <v>0</v>
      </c>
      <c r="I14" s="60">
        <f t="shared" si="0"/>
        <v>0</v>
      </c>
      <c r="J14" s="60">
        <f t="shared" si="1"/>
        <v>0</v>
      </c>
      <c r="K14" s="60">
        <f>B14*1.73</f>
        <v>0</v>
      </c>
      <c r="L14" s="60"/>
      <c r="M14" s="60">
        <f>2.55*B14</f>
        <v>0</v>
      </c>
      <c r="N14" s="60"/>
      <c r="O14" s="60">
        <f t="shared" si="20"/>
        <v>0</v>
      </c>
      <c r="P14" s="60">
        <f t="shared" si="2"/>
        <v>1.85</v>
      </c>
      <c r="Q14" s="60">
        <f t="shared" si="3"/>
        <v>1.0599999999999996</v>
      </c>
      <c r="R14" s="60">
        <f t="shared" si="4"/>
        <v>0</v>
      </c>
      <c r="S14" s="60">
        <f t="shared" si="5"/>
        <v>0</v>
      </c>
      <c r="T14" s="61">
        <f t="shared" si="6"/>
        <v>0</v>
      </c>
      <c r="U14" s="60">
        <f t="shared" si="7"/>
        <v>0</v>
      </c>
      <c r="V14" s="60">
        <f t="shared" si="8"/>
        <v>0</v>
      </c>
      <c r="W14" s="60">
        <f t="shared" si="9"/>
        <v>0</v>
      </c>
      <c r="X14" s="61">
        <f t="shared" si="10"/>
        <v>0</v>
      </c>
      <c r="Y14" s="60">
        <f>IF(AN14=0.14,0.15*B14,IF(AN14=0.16,0.17*B14))</f>
        <v>0</v>
      </c>
      <c r="Z14" s="60">
        <v>0</v>
      </c>
      <c r="AA14" s="60">
        <f>26.99*B14</f>
        <v>0</v>
      </c>
      <c r="AB14" s="8">
        <f t="shared" si="11"/>
        <v>0</v>
      </c>
      <c r="AC14" s="8">
        <f t="shared" si="12"/>
        <v>0</v>
      </c>
      <c r="AD14" s="8">
        <f t="shared" si="13"/>
        <v>0</v>
      </c>
      <c r="AE14" s="8">
        <f t="shared" si="14"/>
        <v>0</v>
      </c>
      <c r="AF14" s="9">
        <f t="shared" si="15"/>
        <v>0</v>
      </c>
      <c r="AG14" s="7"/>
      <c r="AJ14" s="26"/>
      <c r="AK14" s="55">
        <v>3</v>
      </c>
      <c r="AL14" s="55">
        <v>0.24</v>
      </c>
      <c r="AM14" s="38">
        <f>IF(AK14+0.05-AO14-0.16&gt;=0.4,AK14+0.05-AO14-0.14,0.4)</f>
        <v>1.0599999999999996</v>
      </c>
      <c r="AN14" s="62">
        <f t="shared" si="21"/>
        <v>0.14000000000000001</v>
      </c>
      <c r="AO14" s="38">
        <v>1.85</v>
      </c>
      <c r="AP14" s="38">
        <f t="shared" si="16"/>
        <v>1.2800000000000002</v>
      </c>
      <c r="AQ14" s="38">
        <v>2.64</v>
      </c>
      <c r="AR14" s="38">
        <f t="shared" si="22"/>
        <v>3.1086000000000005</v>
      </c>
      <c r="AS14" s="63"/>
    </row>
    <row r="15" spans="1:45" ht="21.95" hidden="1" customHeight="1" x14ac:dyDescent="0.15">
      <c r="A15" s="58" t="s">
        <v>102</v>
      </c>
      <c r="B15" s="59"/>
      <c r="C15" s="7" t="s">
        <v>80</v>
      </c>
      <c r="D15" s="60">
        <f>0.32*B15</f>
        <v>0</v>
      </c>
      <c r="E15" s="60">
        <f>0.44*B15</f>
        <v>0</v>
      </c>
      <c r="F15" s="60">
        <f>(B15)*17.83</f>
        <v>0</v>
      </c>
      <c r="G15" s="60">
        <v>0</v>
      </c>
      <c r="H15" s="60">
        <v>0</v>
      </c>
      <c r="I15" s="60">
        <f t="shared" si="0"/>
        <v>0</v>
      </c>
      <c r="J15" s="60">
        <f t="shared" si="1"/>
        <v>0</v>
      </c>
      <c r="K15" s="60">
        <f>B15*2.15</f>
        <v>0</v>
      </c>
      <c r="L15" s="60"/>
      <c r="M15" s="60">
        <f>3.71*B15</f>
        <v>0</v>
      </c>
      <c r="N15" s="60"/>
      <c r="O15" s="60">
        <f t="shared" si="20"/>
        <v>0</v>
      </c>
      <c r="P15" s="60">
        <f t="shared" si="2"/>
        <v>1.86</v>
      </c>
      <c r="Q15" s="60">
        <f t="shared" si="3"/>
        <v>1.04</v>
      </c>
      <c r="R15" s="60">
        <f t="shared" si="4"/>
        <v>0</v>
      </c>
      <c r="S15" s="60">
        <f t="shared" si="5"/>
        <v>0</v>
      </c>
      <c r="T15" s="61">
        <f t="shared" si="6"/>
        <v>0</v>
      </c>
      <c r="U15" s="60">
        <f t="shared" si="7"/>
        <v>0</v>
      </c>
      <c r="V15" s="60">
        <f t="shared" si="8"/>
        <v>0</v>
      </c>
      <c r="W15" s="60">
        <f t="shared" si="9"/>
        <v>0</v>
      </c>
      <c r="X15" s="61">
        <f t="shared" si="10"/>
        <v>0</v>
      </c>
      <c r="Y15" s="60">
        <f>IF(AN15=0.16,0.27*B15,IF(AN15=0.18,0.3*B15))</f>
        <v>0</v>
      </c>
      <c r="Z15" s="60">
        <v>0</v>
      </c>
      <c r="AA15" s="60">
        <f>39.29*B15</f>
        <v>0</v>
      </c>
      <c r="AB15" s="8">
        <f t="shared" si="11"/>
        <v>0</v>
      </c>
      <c r="AC15" s="8">
        <f t="shared" si="12"/>
        <v>0</v>
      </c>
      <c r="AD15" s="8">
        <f t="shared" si="13"/>
        <v>0</v>
      </c>
      <c r="AE15" s="8">
        <f t="shared" si="14"/>
        <v>0</v>
      </c>
      <c r="AF15" s="9">
        <f t="shared" si="15"/>
        <v>0</v>
      </c>
      <c r="AG15" s="7"/>
      <c r="AJ15" s="26"/>
      <c r="AK15" s="55">
        <v>3</v>
      </c>
      <c r="AL15" s="55">
        <v>0.24</v>
      </c>
      <c r="AM15" s="38">
        <f>IF(AK15+0.06-AO15-0.18&gt;=0.4,AK15+0.06-AO15-0.16,0.4)</f>
        <v>1.04</v>
      </c>
      <c r="AN15" s="62">
        <f>IF(AND(AM15&gt;=0.8,AM15&lt;=2),0.16,0.18)</f>
        <v>0.16</v>
      </c>
      <c r="AO15" s="38">
        <v>1.86</v>
      </c>
      <c r="AP15" s="38">
        <f t="shared" si="16"/>
        <v>1.2999999999999998</v>
      </c>
      <c r="AQ15" s="38">
        <v>2.64</v>
      </c>
      <c r="AR15" s="38">
        <f>3.14*(0.625+0.24+0.5)^2-3.14*(0.625+0.24)^2</f>
        <v>3.5010999999999997</v>
      </c>
      <c r="AS15" s="63"/>
    </row>
    <row r="16" spans="1:45" ht="21.95" hidden="1" customHeight="1" x14ac:dyDescent="0.15">
      <c r="A16" s="58" t="s">
        <v>102</v>
      </c>
      <c r="B16" s="59"/>
      <c r="C16" s="7" t="s">
        <v>106</v>
      </c>
      <c r="D16" s="60">
        <f>0.41*B16</f>
        <v>0</v>
      </c>
      <c r="E16" s="60">
        <f>0.75*B16</f>
        <v>0</v>
      </c>
      <c r="F16" s="60">
        <f>(B16)*32.22</f>
        <v>0</v>
      </c>
      <c r="G16" s="60">
        <v>0</v>
      </c>
      <c r="H16" s="60">
        <v>0</v>
      </c>
      <c r="I16" s="60">
        <f t="shared" si="0"/>
        <v>0</v>
      </c>
      <c r="J16" s="60">
        <f t="shared" si="1"/>
        <v>0</v>
      </c>
      <c r="K16" s="60">
        <f>B16*2.56</f>
        <v>0</v>
      </c>
      <c r="L16" s="60"/>
      <c r="M16" s="60">
        <f>5.46*B16</f>
        <v>0</v>
      </c>
      <c r="N16" s="60"/>
      <c r="O16" s="60">
        <f t="shared" si="20"/>
        <v>0</v>
      </c>
      <c r="P16" s="60">
        <f t="shared" si="2"/>
        <v>1.89</v>
      </c>
      <c r="Q16" s="60">
        <f t="shared" si="3"/>
        <v>1.0100000000000002</v>
      </c>
      <c r="R16" s="60">
        <f t="shared" si="4"/>
        <v>0</v>
      </c>
      <c r="S16" s="60">
        <f t="shared" si="5"/>
        <v>0</v>
      </c>
      <c r="T16" s="61">
        <f t="shared" si="6"/>
        <v>0</v>
      </c>
      <c r="U16" s="60">
        <f t="shared" si="7"/>
        <v>0</v>
      </c>
      <c r="V16" s="60">
        <f t="shared" si="8"/>
        <v>0</v>
      </c>
      <c r="W16" s="60">
        <f t="shared" si="9"/>
        <v>0</v>
      </c>
      <c r="X16" s="61">
        <f t="shared" si="10"/>
        <v>0</v>
      </c>
      <c r="Y16" s="60">
        <f>IF(AN16=0.18,0.42*B16,IF(AN16=0.2,0.47*B16))</f>
        <v>0</v>
      </c>
      <c r="Z16" s="60">
        <v>0</v>
      </c>
      <c r="AA16" s="60">
        <f>IF(AN16=0.18,46.73*B16,IF(AN16=0.2,61.013*B16))</f>
        <v>0</v>
      </c>
      <c r="AB16" s="8">
        <f t="shared" si="11"/>
        <v>0</v>
      </c>
      <c r="AC16" s="8">
        <f t="shared" si="12"/>
        <v>0</v>
      </c>
      <c r="AD16" s="8">
        <f t="shared" si="13"/>
        <v>0</v>
      </c>
      <c r="AE16" s="8">
        <f t="shared" si="14"/>
        <v>0</v>
      </c>
      <c r="AF16" s="9">
        <f t="shared" si="15"/>
        <v>0</v>
      </c>
      <c r="AG16" s="7"/>
      <c r="AJ16" s="26"/>
      <c r="AK16" s="55">
        <v>3</v>
      </c>
      <c r="AL16" s="55">
        <v>0.24</v>
      </c>
      <c r="AM16" s="38">
        <f>IF(AK16+0.08-AO16-0.2&gt;=0.4,AK16+0.08-AO16-0.18,0.4)</f>
        <v>1.0100000000000002</v>
      </c>
      <c r="AN16" s="62">
        <f>IF(AND(AM16&gt;=0.8,AM16&lt;=2),0.18,0.2)</f>
        <v>0.18</v>
      </c>
      <c r="AO16" s="38">
        <v>1.89</v>
      </c>
      <c r="AP16" s="38">
        <f t="shared" si="16"/>
        <v>1.3299999999999996</v>
      </c>
      <c r="AQ16" s="38">
        <v>2.64</v>
      </c>
      <c r="AR16" s="38">
        <f>3.14*(0.75+0.24+0.5)^2-3.14*(0.75+0.24)^2</f>
        <v>3.8936000000000002</v>
      </c>
      <c r="AS16" s="63"/>
    </row>
    <row r="17" spans="1:45" ht="21.95" hidden="1" customHeight="1" x14ac:dyDescent="0.15">
      <c r="A17" s="58" t="s">
        <v>102</v>
      </c>
      <c r="B17" s="59"/>
      <c r="C17" s="7" t="s">
        <v>107</v>
      </c>
      <c r="D17" s="60">
        <f>0.41*B17</f>
        <v>0</v>
      </c>
      <c r="E17" s="60">
        <f>0.75*B17</f>
        <v>0</v>
      </c>
      <c r="F17" s="60">
        <f>(B17)*32.22</f>
        <v>0</v>
      </c>
      <c r="G17" s="60">
        <v>0</v>
      </c>
      <c r="H17" s="60">
        <v>0</v>
      </c>
      <c r="I17" s="60">
        <f t="shared" si="0"/>
        <v>0</v>
      </c>
      <c r="J17" s="60">
        <f t="shared" si="1"/>
        <v>0</v>
      </c>
      <c r="K17" s="60">
        <f>B17*2.41</f>
        <v>0</v>
      </c>
      <c r="L17" s="60"/>
      <c r="M17" s="60">
        <f>6.3*B17</f>
        <v>0</v>
      </c>
      <c r="N17" s="60"/>
      <c r="O17" s="60">
        <f t="shared" si="20"/>
        <v>0</v>
      </c>
      <c r="P17" s="60">
        <f t="shared" si="2"/>
        <v>1.9</v>
      </c>
      <c r="Q17" s="60">
        <f t="shared" si="3"/>
        <v>1.0200000000000002</v>
      </c>
      <c r="R17" s="60">
        <f t="shared" si="4"/>
        <v>0</v>
      </c>
      <c r="S17" s="60">
        <f t="shared" si="5"/>
        <v>0</v>
      </c>
      <c r="T17" s="61">
        <f t="shared" si="6"/>
        <v>0</v>
      </c>
      <c r="U17" s="60">
        <f t="shared" si="7"/>
        <v>0</v>
      </c>
      <c r="V17" s="60">
        <f t="shared" si="8"/>
        <v>0</v>
      </c>
      <c r="W17" s="60">
        <f t="shared" si="9"/>
        <v>0</v>
      </c>
      <c r="X17" s="61">
        <f t="shared" si="10"/>
        <v>0</v>
      </c>
      <c r="Y17" s="60">
        <f>IF(AN17=0.18,0.42*B17,IF(AN17=0.2,0.47*B17))</f>
        <v>0</v>
      </c>
      <c r="Z17" s="60">
        <v>0</v>
      </c>
      <c r="AA17" s="60">
        <f>IF(AN17=0.18,46.73*B17,IF(AN17=0.2,61.013*B17))</f>
        <v>0</v>
      </c>
      <c r="AB17" s="8">
        <f t="shared" si="11"/>
        <v>0</v>
      </c>
      <c r="AC17" s="8">
        <f t="shared" si="12"/>
        <v>0</v>
      </c>
      <c r="AD17" s="8">
        <f t="shared" si="13"/>
        <v>0</v>
      </c>
      <c r="AE17" s="8">
        <f t="shared" si="14"/>
        <v>0</v>
      </c>
      <c r="AF17" s="9">
        <f t="shared" si="15"/>
        <v>0</v>
      </c>
      <c r="AG17" s="7"/>
      <c r="AJ17" s="26"/>
      <c r="AK17" s="55">
        <v>3</v>
      </c>
      <c r="AL17" s="55">
        <v>0.24</v>
      </c>
      <c r="AM17" s="38">
        <f>IF(AK17+0.1-AO17-0.2&gt;=0.4,AK17+0.1-AO17-0.18,0.4)</f>
        <v>1.0200000000000002</v>
      </c>
      <c r="AN17" s="62">
        <f>IF(AND(AM17&gt;=0.8,AM17&lt;=2),0.18,0.2)</f>
        <v>0.18</v>
      </c>
      <c r="AO17" s="38">
        <v>1.9</v>
      </c>
      <c r="AP17" s="38">
        <f t="shared" si="16"/>
        <v>1.3199999999999998</v>
      </c>
      <c r="AQ17" s="38">
        <v>2.64</v>
      </c>
      <c r="AR17" s="38">
        <f>3.14*(0.75+0.24+0.5)^2-3.14*(0.75+0.24)^2</f>
        <v>3.8936000000000002</v>
      </c>
      <c r="AS17" s="63"/>
    </row>
    <row r="18" spans="1:45" ht="21.95" hidden="1" customHeight="1" x14ac:dyDescent="0.15">
      <c r="A18" s="58" t="s">
        <v>27</v>
      </c>
      <c r="B18" s="59">
        <f>SUM(B11:B17)</f>
        <v>0</v>
      </c>
      <c r="C18" s="7" t="s">
        <v>82</v>
      </c>
      <c r="D18" s="60">
        <f t="shared" ref="D18:AF18" si="23">SUM(D11:D17)</f>
        <v>0</v>
      </c>
      <c r="E18" s="60">
        <f t="shared" si="23"/>
        <v>0</v>
      </c>
      <c r="F18" s="60">
        <f t="shared" si="23"/>
        <v>0</v>
      </c>
      <c r="G18" s="60">
        <f t="shared" si="23"/>
        <v>0</v>
      </c>
      <c r="H18" s="60">
        <f t="shared" si="23"/>
        <v>0</v>
      </c>
      <c r="I18" s="60">
        <f t="shared" si="23"/>
        <v>0</v>
      </c>
      <c r="J18" s="60">
        <f t="shared" si="23"/>
        <v>0</v>
      </c>
      <c r="K18" s="60">
        <f t="shared" si="23"/>
        <v>0</v>
      </c>
      <c r="L18" s="60"/>
      <c r="M18" s="60">
        <f t="shared" si="23"/>
        <v>0</v>
      </c>
      <c r="N18" s="60"/>
      <c r="O18" s="60">
        <f t="shared" si="23"/>
        <v>0</v>
      </c>
      <c r="P18" s="60">
        <f t="shared" si="23"/>
        <v>13</v>
      </c>
      <c r="Q18" s="60">
        <f t="shared" si="23"/>
        <v>7.3</v>
      </c>
      <c r="R18" s="60">
        <f t="shared" si="23"/>
        <v>0</v>
      </c>
      <c r="S18" s="60">
        <f t="shared" si="23"/>
        <v>0</v>
      </c>
      <c r="T18" s="61">
        <f t="shared" si="23"/>
        <v>0</v>
      </c>
      <c r="U18" s="60">
        <f t="shared" si="23"/>
        <v>0</v>
      </c>
      <c r="V18" s="60">
        <f t="shared" si="23"/>
        <v>0</v>
      </c>
      <c r="W18" s="60">
        <f t="shared" si="23"/>
        <v>0</v>
      </c>
      <c r="X18" s="61">
        <f t="shared" si="23"/>
        <v>0</v>
      </c>
      <c r="Y18" s="60">
        <f t="shared" si="23"/>
        <v>0</v>
      </c>
      <c r="Z18" s="60">
        <f t="shared" si="23"/>
        <v>0</v>
      </c>
      <c r="AA18" s="60">
        <f t="shared" si="23"/>
        <v>0</v>
      </c>
      <c r="AB18" s="8">
        <f t="shared" si="23"/>
        <v>0</v>
      </c>
      <c r="AC18" s="8">
        <f t="shared" si="23"/>
        <v>0</v>
      </c>
      <c r="AD18" s="8">
        <f t="shared" si="23"/>
        <v>0</v>
      </c>
      <c r="AE18" s="8">
        <f t="shared" si="23"/>
        <v>0</v>
      </c>
      <c r="AF18" s="9">
        <f t="shared" si="23"/>
        <v>0</v>
      </c>
      <c r="AG18" s="7"/>
      <c r="AK18" s="55"/>
      <c r="AL18" s="55"/>
      <c r="AM18" s="38"/>
      <c r="AN18" s="62"/>
      <c r="AO18" s="38"/>
      <c r="AP18" s="38"/>
      <c r="AQ18" s="38"/>
      <c r="AR18" s="38"/>
      <c r="AS18" s="63"/>
    </row>
    <row r="19" spans="1:45" ht="21.95" hidden="1" customHeight="1" x14ac:dyDescent="0.15">
      <c r="A19" s="397" t="s">
        <v>409</v>
      </c>
      <c r="B19" s="398"/>
      <c r="C19" s="398"/>
      <c r="D19" s="398"/>
      <c r="E19" s="398"/>
      <c r="F19" s="398"/>
      <c r="G19" s="398"/>
      <c r="H19" s="398"/>
      <c r="I19" s="398"/>
      <c r="J19" s="398"/>
      <c r="K19" s="398"/>
      <c r="L19" s="398"/>
      <c r="M19" s="398"/>
      <c r="N19" s="398"/>
      <c r="O19" s="398"/>
      <c r="P19" s="398"/>
      <c r="Q19" s="398"/>
      <c r="R19" s="398"/>
      <c r="S19" s="398"/>
      <c r="T19" s="398"/>
      <c r="U19" s="398"/>
      <c r="V19" s="398"/>
      <c r="W19" s="398"/>
      <c r="X19" s="398"/>
      <c r="Y19" s="398"/>
      <c r="Z19" s="398"/>
      <c r="AA19" s="398"/>
      <c r="AB19" s="398"/>
      <c r="AC19" s="398"/>
      <c r="AD19" s="398"/>
      <c r="AE19" s="398"/>
      <c r="AF19" s="398"/>
      <c r="AG19" s="399"/>
      <c r="AK19" s="55"/>
      <c r="AL19" s="55"/>
      <c r="AM19" s="38"/>
      <c r="AN19" s="62"/>
      <c r="AO19" s="38"/>
      <c r="AP19" s="38"/>
      <c r="AQ19" s="38"/>
      <c r="AR19" s="38"/>
      <c r="AS19" s="63"/>
    </row>
    <row r="20" spans="1:45" ht="21.95" hidden="1" customHeight="1" x14ac:dyDescent="0.15">
      <c r="A20" s="383" t="s">
        <v>237</v>
      </c>
      <c r="B20" s="383"/>
      <c r="C20" s="383"/>
      <c r="D20" s="383"/>
      <c r="E20" s="383"/>
      <c r="F20" s="383"/>
      <c r="G20" s="383"/>
      <c r="H20" s="383"/>
      <c r="I20" s="383"/>
      <c r="J20" s="383"/>
      <c r="K20" s="383"/>
      <c r="L20" s="383"/>
      <c r="M20" s="383"/>
      <c r="N20" s="383"/>
      <c r="O20" s="383"/>
      <c r="P20" s="383"/>
      <c r="Q20" s="383"/>
      <c r="R20" s="383"/>
      <c r="S20" s="383"/>
      <c r="T20" s="383"/>
      <c r="U20" s="383"/>
      <c r="V20" s="383"/>
      <c r="W20" s="383"/>
      <c r="X20" s="383"/>
      <c r="Y20" s="383"/>
      <c r="Z20" s="383"/>
      <c r="AA20" s="383"/>
      <c r="AB20" s="383"/>
      <c r="AC20" s="383"/>
      <c r="AD20" s="383"/>
      <c r="AE20" s="383"/>
      <c r="AF20" s="383"/>
      <c r="AG20" s="383"/>
      <c r="AK20" s="53" t="s">
        <v>73</v>
      </c>
      <c r="AL20" s="55" t="s">
        <v>74</v>
      </c>
      <c r="AM20" s="43" t="s">
        <v>75</v>
      </c>
      <c r="AN20" s="56" t="s">
        <v>101</v>
      </c>
      <c r="AO20" s="43" t="s">
        <v>76</v>
      </c>
      <c r="AP20" s="43" t="s">
        <v>77</v>
      </c>
      <c r="AQ20" s="43" t="s">
        <v>78</v>
      </c>
      <c r="AR20" s="57" t="s">
        <v>79</v>
      </c>
      <c r="AS20" s="40"/>
    </row>
    <row r="21" spans="1:45" ht="21.95" hidden="1" customHeight="1" x14ac:dyDescent="0.15">
      <c r="A21" s="58" t="s">
        <v>150</v>
      </c>
      <c r="B21" s="59"/>
      <c r="C21" s="7" t="s">
        <v>103</v>
      </c>
      <c r="D21" s="60">
        <f>0.23*B21</f>
        <v>0</v>
      </c>
      <c r="E21" s="60">
        <f>0.4*B21</f>
        <v>0</v>
      </c>
      <c r="F21" s="60">
        <f>(B21)*38.16</f>
        <v>0</v>
      </c>
      <c r="G21" s="60">
        <v>0</v>
      </c>
      <c r="H21" s="60">
        <v>0</v>
      </c>
      <c r="I21" s="60">
        <f t="shared" ref="I21:I27" si="24">7.6*B21</f>
        <v>0</v>
      </c>
      <c r="J21" s="60">
        <f t="shared" ref="J21:J27" si="25">IF(AK21&lt;=4,B21*(86.5-7.6),B21*(115.7-7.6))</f>
        <v>0</v>
      </c>
      <c r="K21" s="60">
        <f>B21*1.37</f>
        <v>0</v>
      </c>
      <c r="L21" s="60">
        <f>101.59*B21</f>
        <v>0</v>
      </c>
      <c r="M21" s="60">
        <f>0.06*B21</f>
        <v>0</v>
      </c>
      <c r="N21" s="11">
        <f>0.4*B21*AM21</f>
        <v>0</v>
      </c>
      <c r="O21" s="60">
        <f t="shared" ref="O21:O27" si="26">0.71*B21*AM21</f>
        <v>0</v>
      </c>
      <c r="P21" s="60">
        <f t="shared" ref="P21:P27" si="27">AO21</f>
        <v>1.83</v>
      </c>
      <c r="Q21" s="60">
        <f t="shared" ref="Q21:Q27" si="28">AM21</f>
        <v>1.0499999999999998</v>
      </c>
      <c r="R21" s="60">
        <f t="shared" ref="R21:R27" si="29">0.253*0.1*B21</f>
        <v>0</v>
      </c>
      <c r="S21" s="60">
        <f t="shared" ref="S21:S27" si="30">2.53*0.395*B21</f>
        <v>0</v>
      </c>
      <c r="T21" s="61">
        <f t="shared" ref="T21:T27" si="31">B21</f>
        <v>0</v>
      </c>
      <c r="U21" s="60">
        <f>0.167*B21</f>
        <v>0</v>
      </c>
      <c r="V21" s="60">
        <f>5.14*B21</f>
        <v>0</v>
      </c>
      <c r="W21" s="60">
        <f>(31.2-5.14)*B21</f>
        <v>0</v>
      </c>
      <c r="X21" s="61">
        <f t="shared" ref="X21:X27" si="32">B21</f>
        <v>0</v>
      </c>
      <c r="Y21" s="60">
        <f>IF(AN21=0.14,0.15*B21,IF(AN21=0.16,0.17*B21))</f>
        <v>0</v>
      </c>
      <c r="Z21" s="60">
        <v>0</v>
      </c>
      <c r="AA21" s="60">
        <f>26.99*B21</f>
        <v>0</v>
      </c>
      <c r="AB21" s="8">
        <f t="shared" ref="AB21:AB27" si="33">AK21/0.36*B21</f>
        <v>0</v>
      </c>
      <c r="AC21" s="8">
        <f t="shared" ref="AC21:AC27" si="34">B21*1</f>
        <v>0</v>
      </c>
      <c r="AD21" s="8">
        <f t="shared" ref="AD21:AD27" si="35">AC21</f>
        <v>0</v>
      </c>
      <c r="AE21" s="8">
        <f t="shared" ref="AE21:AE27" si="36">8*B21</f>
        <v>0</v>
      </c>
      <c r="AF21" s="9">
        <f t="shared" ref="AF21:AF27" si="37">IF(AM21&gt;=AL21,((AM21-AL21)*AQ21+AP21*AR21)*B21,((AP21+AM21-AL21)*AR21)*B21)</f>
        <v>0</v>
      </c>
      <c r="AG21" s="7"/>
      <c r="AJ21" s="26"/>
      <c r="AK21" s="55">
        <v>3</v>
      </c>
      <c r="AL21" s="55">
        <v>0.24</v>
      </c>
      <c r="AM21" s="38">
        <f>IF(AK21+0.02-AO21-0.16&gt;=0.4,AK21+0.02-AO21-0.14,0.4)</f>
        <v>1.0499999999999998</v>
      </c>
      <c r="AN21" s="62">
        <f>IF(AND(AM21&gt;=0.8,AM21&lt;=2),0.14,0.16)</f>
        <v>0.14000000000000001</v>
      </c>
      <c r="AO21" s="38">
        <v>1.83</v>
      </c>
      <c r="AP21" s="38">
        <f t="shared" ref="AP21:AP27" si="38">AK21-AM21-0.6-0.06</f>
        <v>1.29</v>
      </c>
      <c r="AQ21" s="38">
        <v>2.64</v>
      </c>
      <c r="AR21" s="38">
        <f>3.14*(0.5+0.24+0.5)^2-3.14*(0.5+0.24)^2</f>
        <v>3.1086000000000005</v>
      </c>
      <c r="AS21" s="63"/>
    </row>
    <row r="22" spans="1:45" ht="21.95" hidden="1" customHeight="1" x14ac:dyDescent="0.15">
      <c r="A22" s="58" t="s">
        <v>150</v>
      </c>
      <c r="B22" s="245">
        <v>0</v>
      </c>
      <c r="C22" s="7" t="s">
        <v>104</v>
      </c>
      <c r="D22" s="60">
        <f t="shared" ref="D22:D24" si="39">0.23*B22</f>
        <v>0</v>
      </c>
      <c r="E22" s="60">
        <f t="shared" ref="E22:E24" si="40">0.4*B22</f>
        <v>0</v>
      </c>
      <c r="F22" s="60">
        <f t="shared" ref="F22:F24" si="41">(B22)*38.16</f>
        <v>0</v>
      </c>
      <c r="G22" s="60">
        <v>0</v>
      </c>
      <c r="H22" s="60">
        <v>0</v>
      </c>
      <c r="I22" s="60">
        <f t="shared" si="24"/>
        <v>0</v>
      </c>
      <c r="J22" s="60">
        <f t="shared" si="25"/>
        <v>0</v>
      </c>
      <c r="K22" s="60">
        <f>B22*1.35</f>
        <v>0</v>
      </c>
      <c r="L22" s="60">
        <f t="shared" ref="L22:L24" si="42">101.59*B22</f>
        <v>0</v>
      </c>
      <c r="M22" s="60">
        <f>0.08*B22</f>
        <v>0</v>
      </c>
      <c r="N22" s="11">
        <f t="shared" ref="N22:N27" si="43">0.4*B22*AM22</f>
        <v>0</v>
      </c>
      <c r="O22" s="60">
        <f t="shared" si="26"/>
        <v>0</v>
      </c>
      <c r="P22" s="60">
        <f t="shared" si="27"/>
        <v>1.83</v>
      </c>
      <c r="Q22" s="60">
        <f t="shared" si="28"/>
        <v>0.4</v>
      </c>
      <c r="R22" s="60">
        <f t="shared" si="29"/>
        <v>0</v>
      </c>
      <c r="S22" s="60">
        <f t="shared" si="30"/>
        <v>0</v>
      </c>
      <c r="T22" s="61">
        <f t="shared" si="31"/>
        <v>0</v>
      </c>
      <c r="U22" s="60">
        <f>0.167*B22</f>
        <v>0</v>
      </c>
      <c r="V22" s="60">
        <f>5.14*B22</f>
        <v>0</v>
      </c>
      <c r="W22" s="60">
        <f>(31.2-5.14)*B22</f>
        <v>0</v>
      </c>
      <c r="X22" s="61">
        <f t="shared" si="32"/>
        <v>0</v>
      </c>
      <c r="Y22" s="60">
        <f>IF(AN22=0.14,0.15*B22,IF(AN22=0.16,0.17*B22))</f>
        <v>0</v>
      </c>
      <c r="Z22" s="60">
        <v>0</v>
      </c>
      <c r="AA22" s="60">
        <f>26.99*B22</f>
        <v>0</v>
      </c>
      <c r="AB22" s="8">
        <f t="shared" si="33"/>
        <v>0</v>
      </c>
      <c r="AC22" s="8">
        <f t="shared" si="34"/>
        <v>0</v>
      </c>
      <c r="AD22" s="8">
        <f t="shared" si="35"/>
        <v>0</v>
      </c>
      <c r="AE22" s="8">
        <f t="shared" si="36"/>
        <v>0</v>
      </c>
      <c r="AF22" s="9">
        <f t="shared" si="37"/>
        <v>0</v>
      </c>
      <c r="AG22" s="7"/>
      <c r="AJ22" s="26"/>
      <c r="AK22" s="55">
        <v>2.1</v>
      </c>
      <c r="AL22" s="55">
        <v>0.24</v>
      </c>
      <c r="AM22" s="38">
        <f>IF(AK22+0.03-AO22-0.16&gt;=0.4,AK22+0.03-AO22-0.14,0.4)</f>
        <v>0.4</v>
      </c>
      <c r="AN22" s="62">
        <f t="shared" ref="AN22:AN24" si="44">IF(AND(AM22&gt;=0.8,AM22&lt;=2),0.14,0.16)</f>
        <v>0.16</v>
      </c>
      <c r="AO22" s="38">
        <v>1.83</v>
      </c>
      <c r="AP22" s="38">
        <f t="shared" si="38"/>
        <v>1.04</v>
      </c>
      <c r="AQ22" s="38">
        <v>2.64</v>
      </c>
      <c r="AR22" s="38">
        <f t="shared" ref="AR22:AR24" si="45">3.14*(0.5+0.24+0.5)^2-3.14*(0.5+0.24)^2</f>
        <v>3.1086000000000005</v>
      </c>
      <c r="AS22" s="63"/>
    </row>
    <row r="23" spans="1:45" ht="21.95" hidden="1" customHeight="1" x14ac:dyDescent="0.15">
      <c r="A23" s="58" t="s">
        <v>150</v>
      </c>
      <c r="B23" s="245">
        <v>0</v>
      </c>
      <c r="C23" s="7" t="s">
        <v>84</v>
      </c>
      <c r="D23" s="60">
        <f t="shared" si="39"/>
        <v>0</v>
      </c>
      <c r="E23" s="60">
        <f t="shared" si="40"/>
        <v>0</v>
      </c>
      <c r="F23" s="60">
        <f t="shared" si="41"/>
        <v>0</v>
      </c>
      <c r="G23" s="60">
        <v>0</v>
      </c>
      <c r="H23" s="60">
        <v>0</v>
      </c>
      <c r="I23" s="60">
        <f t="shared" si="24"/>
        <v>0</v>
      </c>
      <c r="J23" s="60">
        <f t="shared" si="25"/>
        <v>0</v>
      </c>
      <c r="K23" s="60">
        <f>B23*1.34</f>
        <v>0</v>
      </c>
      <c r="L23" s="60">
        <f t="shared" si="42"/>
        <v>0</v>
      </c>
      <c r="M23" s="60">
        <f>0.09*B23</f>
        <v>0</v>
      </c>
      <c r="N23" s="11">
        <f t="shared" si="43"/>
        <v>0</v>
      </c>
      <c r="O23" s="60">
        <f t="shared" si="26"/>
        <v>0</v>
      </c>
      <c r="P23" s="60">
        <f t="shared" si="27"/>
        <v>1.84</v>
      </c>
      <c r="Q23" s="60">
        <f t="shared" si="28"/>
        <v>0.66</v>
      </c>
      <c r="R23" s="60">
        <f t="shared" si="29"/>
        <v>0</v>
      </c>
      <c r="S23" s="60">
        <f t="shared" si="30"/>
        <v>0</v>
      </c>
      <c r="T23" s="61">
        <f t="shared" si="31"/>
        <v>0</v>
      </c>
      <c r="U23" s="60">
        <f>0.167*B23</f>
        <v>0</v>
      </c>
      <c r="V23" s="60">
        <f>5.14*B23</f>
        <v>0</v>
      </c>
      <c r="W23" s="60">
        <f>(31.2-5.14)*B23</f>
        <v>0</v>
      </c>
      <c r="X23" s="61">
        <f t="shared" si="32"/>
        <v>0</v>
      </c>
      <c r="Y23" s="60">
        <f>IF(AN23=0.14,0.15*B23,IF(AN23=0.16,0.17*B23))</f>
        <v>0</v>
      </c>
      <c r="Z23" s="60">
        <v>0</v>
      </c>
      <c r="AA23" s="60">
        <f>26.99*B23</f>
        <v>0</v>
      </c>
      <c r="AB23" s="8">
        <f t="shared" si="33"/>
        <v>0</v>
      </c>
      <c r="AC23" s="8">
        <f t="shared" si="34"/>
        <v>0</v>
      </c>
      <c r="AD23" s="8">
        <f t="shared" si="35"/>
        <v>0</v>
      </c>
      <c r="AE23" s="8">
        <f t="shared" si="36"/>
        <v>0</v>
      </c>
      <c r="AF23" s="9">
        <f t="shared" si="37"/>
        <v>0</v>
      </c>
      <c r="AG23" s="7"/>
      <c r="AJ23" s="26"/>
      <c r="AK23" s="55">
        <v>2.6</v>
      </c>
      <c r="AL23" s="55">
        <v>0.24</v>
      </c>
      <c r="AM23" s="38">
        <f>IF(AK23+0.04-AO23-0.16&gt;=0.4,AK23+0.04-AO23-0.14,0.4)</f>
        <v>0.66</v>
      </c>
      <c r="AN23" s="62">
        <f t="shared" si="44"/>
        <v>0.16</v>
      </c>
      <c r="AO23" s="38">
        <v>1.84</v>
      </c>
      <c r="AP23" s="38">
        <f t="shared" si="38"/>
        <v>1.2799999999999998</v>
      </c>
      <c r="AQ23" s="38">
        <v>2.64</v>
      </c>
      <c r="AR23" s="38">
        <f t="shared" si="45"/>
        <v>3.1086000000000005</v>
      </c>
      <c r="AS23" s="63"/>
    </row>
    <row r="24" spans="1:45" ht="21.95" hidden="1" customHeight="1" x14ac:dyDescent="0.15">
      <c r="A24" s="58" t="s">
        <v>150</v>
      </c>
      <c r="B24" s="59"/>
      <c r="C24" s="7" t="s">
        <v>105</v>
      </c>
      <c r="D24" s="60">
        <f t="shared" si="39"/>
        <v>0</v>
      </c>
      <c r="E24" s="60">
        <f t="shared" si="40"/>
        <v>0</v>
      </c>
      <c r="F24" s="60">
        <f t="shared" si="41"/>
        <v>0</v>
      </c>
      <c r="G24" s="60">
        <v>0</v>
      </c>
      <c r="H24" s="60">
        <v>0</v>
      </c>
      <c r="I24" s="60">
        <f t="shared" si="24"/>
        <v>0</v>
      </c>
      <c r="J24" s="60">
        <f t="shared" si="25"/>
        <v>0</v>
      </c>
      <c r="K24" s="60">
        <f>B24*1.32</f>
        <v>0</v>
      </c>
      <c r="L24" s="60">
        <f t="shared" si="42"/>
        <v>0</v>
      </c>
      <c r="M24" s="60">
        <f>0.115*B24</f>
        <v>0</v>
      </c>
      <c r="N24" s="11">
        <f t="shared" si="43"/>
        <v>0</v>
      </c>
      <c r="O24" s="60">
        <f t="shared" si="26"/>
        <v>0</v>
      </c>
      <c r="P24" s="60">
        <f t="shared" si="27"/>
        <v>1.85</v>
      </c>
      <c r="Q24" s="60">
        <f t="shared" si="28"/>
        <v>1.0599999999999996</v>
      </c>
      <c r="R24" s="60">
        <f t="shared" si="29"/>
        <v>0</v>
      </c>
      <c r="S24" s="60">
        <f t="shared" si="30"/>
        <v>0</v>
      </c>
      <c r="T24" s="61">
        <f t="shared" si="31"/>
        <v>0</v>
      </c>
      <c r="U24" s="60">
        <f>0.167*B24</f>
        <v>0</v>
      </c>
      <c r="V24" s="60">
        <f>5.14*B24</f>
        <v>0</v>
      </c>
      <c r="W24" s="60">
        <f>(31.2-5.14)*B24</f>
        <v>0</v>
      </c>
      <c r="X24" s="61">
        <f t="shared" si="32"/>
        <v>0</v>
      </c>
      <c r="Y24" s="60">
        <f>IF(AN24=0.14,0.15*B24,IF(AN24=0.16,0.17*B24))</f>
        <v>0</v>
      </c>
      <c r="Z24" s="60">
        <v>0</v>
      </c>
      <c r="AA24" s="60">
        <f>26.99*B24</f>
        <v>0</v>
      </c>
      <c r="AB24" s="8">
        <f t="shared" si="33"/>
        <v>0</v>
      </c>
      <c r="AC24" s="8">
        <f t="shared" si="34"/>
        <v>0</v>
      </c>
      <c r="AD24" s="8">
        <f t="shared" si="35"/>
        <v>0</v>
      </c>
      <c r="AE24" s="8">
        <f t="shared" si="36"/>
        <v>0</v>
      </c>
      <c r="AF24" s="9">
        <f t="shared" si="37"/>
        <v>0</v>
      </c>
      <c r="AG24" s="7"/>
      <c r="AJ24" s="26"/>
      <c r="AK24" s="55">
        <v>3</v>
      </c>
      <c r="AL24" s="55">
        <v>0.24</v>
      </c>
      <c r="AM24" s="38">
        <f>IF(AK24+0.05-AO24-0.16&gt;=0.4,AK24+0.05-AO24-0.14,0.4)</f>
        <v>1.0599999999999996</v>
      </c>
      <c r="AN24" s="62">
        <f t="shared" si="44"/>
        <v>0.14000000000000001</v>
      </c>
      <c r="AO24" s="38">
        <v>1.85</v>
      </c>
      <c r="AP24" s="38">
        <f t="shared" si="38"/>
        <v>1.2800000000000002</v>
      </c>
      <c r="AQ24" s="38">
        <v>2.64</v>
      </c>
      <c r="AR24" s="38">
        <f t="shared" si="45"/>
        <v>3.1086000000000005</v>
      </c>
      <c r="AS24" s="63"/>
    </row>
    <row r="25" spans="1:45" ht="21.95" hidden="1" customHeight="1" x14ac:dyDescent="0.15">
      <c r="A25" s="58" t="s">
        <v>150</v>
      </c>
      <c r="B25" s="59"/>
      <c r="C25" s="7" t="s">
        <v>80</v>
      </c>
      <c r="D25" s="60">
        <f>0.3*B25</f>
        <v>0</v>
      </c>
      <c r="E25" s="60">
        <f>0.54*B25</f>
        <v>0</v>
      </c>
      <c r="F25" s="60">
        <f>(B25)*49.38</f>
        <v>0</v>
      </c>
      <c r="G25" s="60">
        <v>0</v>
      </c>
      <c r="H25" s="60">
        <v>0</v>
      </c>
      <c r="I25" s="60">
        <f t="shared" si="24"/>
        <v>0</v>
      </c>
      <c r="J25" s="60">
        <f t="shared" si="25"/>
        <v>0</v>
      </c>
      <c r="K25" s="60">
        <f>B25*1.58</f>
        <v>0</v>
      </c>
      <c r="L25" s="60">
        <f>122.64*B25</f>
        <v>0</v>
      </c>
      <c r="M25" s="60">
        <f>0.19*B25</f>
        <v>0</v>
      </c>
      <c r="N25" s="11">
        <f t="shared" si="43"/>
        <v>0</v>
      </c>
      <c r="O25" s="60">
        <f t="shared" si="26"/>
        <v>0</v>
      </c>
      <c r="P25" s="60">
        <f t="shared" si="27"/>
        <v>1.86</v>
      </c>
      <c r="Q25" s="60">
        <f t="shared" si="28"/>
        <v>0.83999999999999975</v>
      </c>
      <c r="R25" s="60">
        <f t="shared" si="29"/>
        <v>0</v>
      </c>
      <c r="S25" s="60">
        <f t="shared" si="30"/>
        <v>0</v>
      </c>
      <c r="T25" s="61">
        <f t="shared" si="31"/>
        <v>0</v>
      </c>
      <c r="U25" s="60">
        <f>0.1*B25</f>
        <v>0</v>
      </c>
      <c r="V25" s="60">
        <f>4.83*B25</f>
        <v>0</v>
      </c>
      <c r="W25" s="60">
        <f>(21.38-4.83)*B25</f>
        <v>0</v>
      </c>
      <c r="X25" s="61">
        <f t="shared" si="32"/>
        <v>0</v>
      </c>
      <c r="Y25" s="60">
        <f>IF(AN25=0.16,0.27*B25,IF(AN25=0.18,0.3*B25))</f>
        <v>0</v>
      </c>
      <c r="Z25" s="60">
        <v>0</v>
      </c>
      <c r="AA25" s="60">
        <f>39.29*B25</f>
        <v>0</v>
      </c>
      <c r="AB25" s="8">
        <f t="shared" si="33"/>
        <v>0</v>
      </c>
      <c r="AC25" s="8">
        <f t="shared" si="34"/>
        <v>0</v>
      </c>
      <c r="AD25" s="8">
        <f t="shared" si="35"/>
        <v>0</v>
      </c>
      <c r="AE25" s="8">
        <f t="shared" si="36"/>
        <v>0</v>
      </c>
      <c r="AF25" s="9">
        <f t="shared" si="37"/>
        <v>0</v>
      </c>
      <c r="AG25" s="7"/>
      <c r="AJ25" s="26"/>
      <c r="AK25" s="55">
        <v>2.8</v>
      </c>
      <c r="AL25" s="55">
        <v>0</v>
      </c>
      <c r="AM25" s="38">
        <f>IF(AK25+0.06-AO25-0.18&gt;=0.4,AK25+0.06-AO25-0.16,0.4)</f>
        <v>0.83999999999999975</v>
      </c>
      <c r="AN25" s="62">
        <f>IF(AND(AM25&gt;=0.8,AM25&lt;=2),0.16,0.18)</f>
        <v>0.16</v>
      </c>
      <c r="AO25" s="38">
        <v>1.86</v>
      </c>
      <c r="AP25" s="38">
        <f t="shared" si="38"/>
        <v>1.2999999999999998</v>
      </c>
      <c r="AQ25" s="38">
        <v>2.64</v>
      </c>
      <c r="AR25" s="38">
        <f>3.14*(0.625+0.24+0.5)^2-3.14*(0.625+0.24)^2</f>
        <v>3.5010999999999997</v>
      </c>
      <c r="AS25" s="63"/>
    </row>
    <row r="26" spans="1:45" ht="21.95" hidden="1" customHeight="1" x14ac:dyDescent="0.15">
      <c r="A26" s="58" t="s">
        <v>150</v>
      </c>
      <c r="B26" s="59"/>
      <c r="C26" s="7" t="s">
        <v>106</v>
      </c>
      <c r="D26" s="60">
        <f>0.38*B26</f>
        <v>0</v>
      </c>
      <c r="E26" s="60">
        <f>0.69*B26</f>
        <v>0</v>
      </c>
      <c r="F26" s="60">
        <f>(B26)*61.99</f>
        <v>0</v>
      </c>
      <c r="G26" s="60">
        <v>0</v>
      </c>
      <c r="H26" s="60">
        <v>0</v>
      </c>
      <c r="I26" s="60">
        <f t="shared" si="24"/>
        <v>0</v>
      </c>
      <c r="J26" s="60">
        <f t="shared" si="25"/>
        <v>0</v>
      </c>
      <c r="K26" s="60">
        <f>B26*1.81</f>
        <v>0</v>
      </c>
      <c r="L26" s="60">
        <f>143.69*B26</f>
        <v>0</v>
      </c>
      <c r="M26" s="60">
        <f>0.33*B26</f>
        <v>0</v>
      </c>
      <c r="N26" s="11">
        <f t="shared" si="43"/>
        <v>0</v>
      </c>
      <c r="O26" s="60">
        <f t="shared" si="26"/>
        <v>0</v>
      </c>
      <c r="P26" s="60">
        <f t="shared" si="27"/>
        <v>1.89</v>
      </c>
      <c r="Q26" s="60">
        <f t="shared" si="28"/>
        <v>1.0100000000000002</v>
      </c>
      <c r="R26" s="60">
        <f t="shared" si="29"/>
        <v>0</v>
      </c>
      <c r="S26" s="60">
        <f t="shared" si="30"/>
        <v>0</v>
      </c>
      <c r="T26" s="61">
        <f t="shared" si="31"/>
        <v>0</v>
      </c>
      <c r="U26" s="60">
        <f>0.167*B26</f>
        <v>0</v>
      </c>
      <c r="V26" s="60">
        <f>5.14*B26</f>
        <v>0</v>
      </c>
      <c r="W26" s="60">
        <f>(31.2-5.14)*B26</f>
        <v>0</v>
      </c>
      <c r="X26" s="61">
        <f t="shared" si="32"/>
        <v>0</v>
      </c>
      <c r="Y26" s="60">
        <f>IF(AN26=0.18,0.42*B26,IF(AN26=0.2,0.47*B26))</f>
        <v>0</v>
      </c>
      <c r="Z26" s="60">
        <v>0</v>
      </c>
      <c r="AA26" s="60">
        <f>IF(AN26=0.18,46.73*B26,IF(AN26=0.2,61.013*B26))</f>
        <v>0</v>
      </c>
      <c r="AB26" s="8">
        <f t="shared" si="33"/>
        <v>0</v>
      </c>
      <c r="AC26" s="8">
        <f t="shared" si="34"/>
        <v>0</v>
      </c>
      <c r="AD26" s="8">
        <f t="shared" si="35"/>
        <v>0</v>
      </c>
      <c r="AE26" s="8">
        <f t="shared" si="36"/>
        <v>0</v>
      </c>
      <c r="AF26" s="9">
        <f t="shared" si="37"/>
        <v>0</v>
      </c>
      <c r="AG26" s="7"/>
      <c r="AJ26" s="26"/>
      <c r="AK26" s="55">
        <v>3</v>
      </c>
      <c r="AL26" s="55">
        <v>0.24</v>
      </c>
      <c r="AM26" s="38">
        <f>IF(AK26+0.08-AO26-0.2&gt;=0.4,AK26+0.08-AO26-0.18,0.4)</f>
        <v>1.0100000000000002</v>
      </c>
      <c r="AN26" s="62">
        <f>IF(AND(AM26&gt;=0.8,AM26&lt;=2),0.18,0.2)</f>
        <v>0.18</v>
      </c>
      <c r="AO26" s="38">
        <v>1.89</v>
      </c>
      <c r="AP26" s="38">
        <f t="shared" si="38"/>
        <v>1.3299999999999996</v>
      </c>
      <c r="AQ26" s="38">
        <v>2.64</v>
      </c>
      <c r="AR26" s="38">
        <f>3.14*(0.75+0.24+0.5)^2-3.14*(0.75+0.24)^2</f>
        <v>3.8936000000000002</v>
      </c>
      <c r="AS26" s="63"/>
    </row>
    <row r="27" spans="1:45" ht="21.95" hidden="1" customHeight="1" x14ac:dyDescent="0.15">
      <c r="A27" s="58" t="s">
        <v>150</v>
      </c>
      <c r="B27" s="59"/>
      <c r="C27" s="7" t="s">
        <v>107</v>
      </c>
      <c r="D27" s="60">
        <f>0.38*B27</f>
        <v>0</v>
      </c>
      <c r="E27" s="60">
        <f>0.69*B27</f>
        <v>0</v>
      </c>
      <c r="F27" s="60">
        <f>(B27)*61.99</f>
        <v>0</v>
      </c>
      <c r="G27" s="60">
        <v>0</v>
      </c>
      <c r="H27" s="60">
        <v>0</v>
      </c>
      <c r="I27" s="60">
        <f t="shared" si="24"/>
        <v>0</v>
      </c>
      <c r="J27" s="60">
        <f t="shared" si="25"/>
        <v>0</v>
      </c>
      <c r="K27" s="60">
        <f>B27*1.72</f>
        <v>0</v>
      </c>
      <c r="L27" s="60">
        <f>143.69*B27</f>
        <v>0</v>
      </c>
      <c r="M27" s="60">
        <f>0.29*B27</f>
        <v>0</v>
      </c>
      <c r="N27" s="11">
        <f t="shared" si="43"/>
        <v>0</v>
      </c>
      <c r="O27" s="60">
        <f t="shared" si="26"/>
        <v>0</v>
      </c>
      <c r="P27" s="60">
        <f t="shared" si="27"/>
        <v>1.9</v>
      </c>
      <c r="Q27" s="60">
        <f t="shared" si="28"/>
        <v>1.0200000000000002</v>
      </c>
      <c r="R27" s="60">
        <f t="shared" si="29"/>
        <v>0</v>
      </c>
      <c r="S27" s="60">
        <f t="shared" si="30"/>
        <v>0</v>
      </c>
      <c r="T27" s="61">
        <f t="shared" si="31"/>
        <v>0</v>
      </c>
      <c r="U27" s="60">
        <f>0.167*B27</f>
        <v>0</v>
      </c>
      <c r="V27" s="60">
        <f>5.14*B27</f>
        <v>0</v>
      </c>
      <c r="W27" s="60">
        <f>(31.2-5.14)*B27</f>
        <v>0</v>
      </c>
      <c r="X27" s="61">
        <f t="shared" si="32"/>
        <v>0</v>
      </c>
      <c r="Y27" s="60">
        <f>IF(AN27=0.18,0.42*B27,IF(AN27=0.2,0.47*B27))</f>
        <v>0</v>
      </c>
      <c r="Z27" s="60">
        <v>0</v>
      </c>
      <c r="AA27" s="60">
        <f>IF(AN27=0.18,46.73*B27,IF(AN27=0.2,61.013*B27))</f>
        <v>0</v>
      </c>
      <c r="AB27" s="8">
        <f t="shared" si="33"/>
        <v>0</v>
      </c>
      <c r="AC27" s="8">
        <f t="shared" si="34"/>
        <v>0</v>
      </c>
      <c r="AD27" s="8">
        <f t="shared" si="35"/>
        <v>0</v>
      </c>
      <c r="AE27" s="8">
        <f t="shared" si="36"/>
        <v>0</v>
      </c>
      <c r="AF27" s="9">
        <f t="shared" si="37"/>
        <v>0</v>
      </c>
      <c r="AG27" s="7"/>
      <c r="AJ27" s="26"/>
      <c r="AK27" s="55">
        <v>3</v>
      </c>
      <c r="AL27" s="55">
        <v>0.24</v>
      </c>
      <c r="AM27" s="38">
        <f>IF(AK27+0.1-AO27-0.2&gt;=0.4,AK27+0.1-AO27-0.18,0.4)</f>
        <v>1.0200000000000002</v>
      </c>
      <c r="AN27" s="62">
        <f>IF(AND(AM27&gt;=0.8,AM27&lt;=2),0.18,0.2)</f>
        <v>0.18</v>
      </c>
      <c r="AO27" s="38">
        <v>1.9</v>
      </c>
      <c r="AP27" s="38">
        <f t="shared" si="38"/>
        <v>1.3199999999999998</v>
      </c>
      <c r="AQ27" s="38">
        <v>2.64</v>
      </c>
      <c r="AR27" s="38">
        <f>3.14*(0.75+0.24+0.5)^2-3.14*(0.75+0.24)^2</f>
        <v>3.8936000000000002</v>
      </c>
      <c r="AS27" s="63"/>
    </row>
    <row r="28" spans="1:45" ht="21.95" hidden="1" customHeight="1" x14ac:dyDescent="0.15">
      <c r="A28" s="58" t="s">
        <v>27</v>
      </c>
      <c r="B28" s="59">
        <f>SUM(B21:B27)</f>
        <v>0</v>
      </c>
      <c r="C28" s="7" t="s">
        <v>82</v>
      </c>
      <c r="D28" s="60">
        <f t="shared" ref="D28:AF28" si="46">SUM(D21:D27)</f>
        <v>0</v>
      </c>
      <c r="E28" s="60">
        <f t="shared" si="46"/>
        <v>0</v>
      </c>
      <c r="F28" s="60">
        <f t="shared" si="46"/>
        <v>0</v>
      </c>
      <c r="G28" s="60">
        <f t="shared" si="46"/>
        <v>0</v>
      </c>
      <c r="H28" s="60">
        <f t="shared" si="46"/>
        <v>0</v>
      </c>
      <c r="I28" s="60">
        <f t="shared" si="46"/>
        <v>0</v>
      </c>
      <c r="J28" s="60">
        <f t="shared" si="46"/>
        <v>0</v>
      </c>
      <c r="K28" s="60">
        <f t="shared" si="46"/>
        <v>0</v>
      </c>
      <c r="L28" s="60">
        <f t="shared" si="46"/>
        <v>0</v>
      </c>
      <c r="M28" s="60">
        <f t="shared" si="46"/>
        <v>0</v>
      </c>
      <c r="N28" s="60">
        <f t="shared" si="46"/>
        <v>0</v>
      </c>
      <c r="O28" s="60">
        <f t="shared" si="46"/>
        <v>0</v>
      </c>
      <c r="P28" s="60">
        <f t="shared" si="46"/>
        <v>13</v>
      </c>
      <c r="Q28" s="60">
        <f t="shared" si="46"/>
        <v>6.04</v>
      </c>
      <c r="R28" s="60">
        <f t="shared" si="46"/>
        <v>0</v>
      </c>
      <c r="S28" s="60">
        <f t="shared" si="46"/>
        <v>0</v>
      </c>
      <c r="T28" s="61">
        <f t="shared" si="46"/>
        <v>0</v>
      </c>
      <c r="U28" s="60">
        <f t="shared" si="46"/>
        <v>0</v>
      </c>
      <c r="V28" s="60">
        <f t="shared" si="46"/>
        <v>0</v>
      </c>
      <c r="W28" s="60">
        <f t="shared" si="46"/>
        <v>0</v>
      </c>
      <c r="X28" s="61">
        <f t="shared" si="46"/>
        <v>0</v>
      </c>
      <c r="Y28" s="60">
        <f t="shared" si="46"/>
        <v>0</v>
      </c>
      <c r="Z28" s="60">
        <f t="shared" si="46"/>
        <v>0</v>
      </c>
      <c r="AA28" s="60">
        <f t="shared" si="46"/>
        <v>0</v>
      </c>
      <c r="AB28" s="8">
        <f t="shared" si="46"/>
        <v>0</v>
      </c>
      <c r="AC28" s="8">
        <f t="shared" si="46"/>
        <v>0</v>
      </c>
      <c r="AD28" s="8">
        <f t="shared" si="46"/>
        <v>0</v>
      </c>
      <c r="AE28" s="8">
        <f t="shared" si="46"/>
        <v>0</v>
      </c>
      <c r="AF28" s="9">
        <f t="shared" si="46"/>
        <v>0</v>
      </c>
      <c r="AG28" s="7"/>
      <c r="AK28" s="55"/>
      <c r="AL28" s="55"/>
      <c r="AM28" s="38"/>
      <c r="AN28" s="62"/>
      <c r="AO28" s="38"/>
      <c r="AP28" s="38"/>
      <c r="AQ28" s="38"/>
      <c r="AR28" s="38"/>
      <c r="AS28" s="63"/>
    </row>
    <row r="29" spans="1:45" ht="21.95" hidden="1" customHeight="1" x14ac:dyDescent="0.15">
      <c r="A29" s="383" t="s">
        <v>110</v>
      </c>
      <c r="B29" s="383"/>
      <c r="C29" s="383"/>
      <c r="D29" s="383"/>
      <c r="E29" s="383"/>
      <c r="F29" s="383"/>
      <c r="G29" s="383"/>
      <c r="H29" s="383"/>
      <c r="I29" s="383"/>
      <c r="J29" s="383"/>
      <c r="K29" s="383"/>
      <c r="L29" s="383"/>
      <c r="M29" s="383"/>
      <c r="N29" s="383"/>
      <c r="O29" s="383"/>
      <c r="P29" s="383"/>
      <c r="Q29" s="383"/>
      <c r="R29" s="383"/>
      <c r="S29" s="383"/>
      <c r="T29" s="383"/>
      <c r="U29" s="383"/>
      <c r="V29" s="383"/>
      <c r="W29" s="383"/>
      <c r="X29" s="383"/>
      <c r="Y29" s="383"/>
      <c r="Z29" s="383"/>
      <c r="AA29" s="383"/>
      <c r="AB29" s="383"/>
      <c r="AC29" s="383"/>
      <c r="AD29" s="383"/>
      <c r="AE29" s="383"/>
      <c r="AF29" s="383"/>
      <c r="AG29" s="383"/>
      <c r="AK29" s="53" t="s">
        <v>73</v>
      </c>
      <c r="AL29" s="55" t="s">
        <v>74</v>
      </c>
      <c r="AM29" s="43" t="s">
        <v>75</v>
      </c>
      <c r="AN29" s="56" t="s">
        <v>101</v>
      </c>
      <c r="AO29" s="43" t="s">
        <v>76</v>
      </c>
      <c r="AP29" s="43" t="s">
        <v>77</v>
      </c>
      <c r="AQ29" s="43" t="s">
        <v>78</v>
      </c>
      <c r="AR29" s="57" t="s">
        <v>79</v>
      </c>
      <c r="AS29" s="40"/>
    </row>
    <row r="30" spans="1:45" ht="21.95" hidden="1" customHeight="1" x14ac:dyDescent="0.15">
      <c r="A30" s="58" t="s">
        <v>241</v>
      </c>
      <c r="B30" s="59"/>
      <c r="C30" s="7" t="s">
        <v>111</v>
      </c>
      <c r="D30" s="60">
        <f>0.37*B30</f>
        <v>0</v>
      </c>
      <c r="E30" s="60">
        <f>0.67*B30</f>
        <v>0</v>
      </c>
      <c r="F30" s="60">
        <f>(B30)*29.48</f>
        <v>0</v>
      </c>
      <c r="G30" s="60">
        <v>0</v>
      </c>
      <c r="H30" s="60">
        <v>0</v>
      </c>
      <c r="I30" s="60">
        <f>7.6*B30</f>
        <v>0</v>
      </c>
      <c r="J30" s="60">
        <f>IF(AK30&lt;=4,B30*(90.4-7.6),B30*(120.4-7.6))</f>
        <v>0</v>
      </c>
      <c r="K30" s="60">
        <f>B30*2.41</f>
        <v>0</v>
      </c>
      <c r="L30" s="60"/>
      <c r="M30" s="60">
        <f>4.08*B30</f>
        <v>0</v>
      </c>
      <c r="N30" s="60"/>
      <c r="O30" s="60">
        <f t="shared" ref="O30:O39" si="47">0.71*B30*AM30</f>
        <v>0</v>
      </c>
      <c r="P30" s="60">
        <f>AO30</f>
        <v>1.88</v>
      </c>
      <c r="Q30" s="60">
        <f>AM30</f>
        <v>2.06</v>
      </c>
      <c r="R30" s="60">
        <f t="shared" ref="R30:R39" si="48">0.253*0.1*B30</f>
        <v>0</v>
      </c>
      <c r="S30" s="60">
        <f t="shared" ref="S30:S39" si="49">2.53*0.395*B30</f>
        <v>0</v>
      </c>
      <c r="T30" s="61">
        <f t="shared" ref="T30:T39" si="50">B30</f>
        <v>0</v>
      </c>
      <c r="U30" s="60">
        <f t="shared" ref="U30:U39" si="51">0.167*B30</f>
        <v>0</v>
      </c>
      <c r="V30" s="60">
        <f t="shared" ref="V30:V39" si="52">5.14*B30</f>
        <v>0</v>
      </c>
      <c r="W30" s="60">
        <f t="shared" ref="W30:W39" si="53">(31.2-5.14)*B30</f>
        <v>0</v>
      </c>
      <c r="X30" s="61">
        <f t="shared" ref="X30:X39" si="54">B30</f>
        <v>0</v>
      </c>
      <c r="Y30" s="60">
        <f>IF(AND(AM30&gt;=0.8,AM30&lt;=2),0.27*B30,0.3*B30)</f>
        <v>0</v>
      </c>
      <c r="Z30" s="60">
        <v>0</v>
      </c>
      <c r="AA30" s="60">
        <f>34.91*B30</f>
        <v>0</v>
      </c>
      <c r="AB30" s="8">
        <f t="shared" ref="AB30:AB39" si="55">AK30/0.36*B30</f>
        <v>0</v>
      </c>
      <c r="AC30" s="8">
        <f t="shared" ref="AC30:AC39" si="56">B30*1</f>
        <v>0</v>
      </c>
      <c r="AD30" s="8">
        <f t="shared" ref="AD30:AD39" si="57">AC30</f>
        <v>0</v>
      </c>
      <c r="AE30" s="8">
        <f t="shared" ref="AE30:AE39" si="58">8*B30</f>
        <v>0</v>
      </c>
      <c r="AF30" s="9">
        <f t="shared" ref="AF30:AF39" si="59">IF(AM30&gt;=AL30,((AM30-AL30)*AQ30+AP30*AR30)*B30,((AP30+AM30-AL30)*AR30)*B30)</f>
        <v>0</v>
      </c>
      <c r="AG30" s="7"/>
      <c r="AJ30" s="26"/>
      <c r="AK30" s="55">
        <v>4</v>
      </c>
      <c r="AL30" s="55">
        <v>0.24</v>
      </c>
      <c r="AM30" s="38">
        <f>IF(AK30+0.08-AO30-0.16&gt;=0.4,AK30+0.08-AO30-0.14,0.4)</f>
        <v>2.06</v>
      </c>
      <c r="AN30" s="62">
        <f>IF(AND(AM30&gt;=0.8,AM30&lt;=2),0.14,0.16)</f>
        <v>0.16</v>
      </c>
      <c r="AO30" s="38">
        <v>1.88</v>
      </c>
      <c r="AP30" s="38">
        <f>AK30-AM30-0.8-0.08</f>
        <v>1.0599999999999998</v>
      </c>
      <c r="AQ30" s="38">
        <v>2.64</v>
      </c>
      <c r="AR30" s="38">
        <f>(2.68*2.58-1.68*1.58)</f>
        <v>4.2600000000000007</v>
      </c>
      <c r="AS30" s="63"/>
    </row>
    <row r="31" spans="1:45" ht="21.95" hidden="1" customHeight="1" x14ac:dyDescent="0.15">
      <c r="A31" s="58" t="s">
        <v>241</v>
      </c>
      <c r="B31" s="59"/>
      <c r="C31" s="7" t="s">
        <v>112</v>
      </c>
      <c r="D31" s="60">
        <f>0.41*B31</f>
        <v>0</v>
      </c>
      <c r="E31" s="60">
        <f>0.74*B31</f>
        <v>0</v>
      </c>
      <c r="F31" s="60">
        <f>B31*32.59</f>
        <v>0</v>
      </c>
      <c r="G31" s="60">
        <v>0</v>
      </c>
      <c r="H31" s="60">
        <v>0</v>
      </c>
      <c r="I31" s="60">
        <f>B31*7.6</f>
        <v>0</v>
      </c>
      <c r="J31" s="60">
        <f>IF(AK31&lt;=4,B31*(98.1-7.6),B31*(131.6-7.6))</f>
        <v>0</v>
      </c>
      <c r="K31" s="60">
        <f>B31*2.51</f>
        <v>0</v>
      </c>
      <c r="L31" s="60"/>
      <c r="M31" s="60">
        <f>4.88*B31</f>
        <v>0</v>
      </c>
      <c r="N31" s="60"/>
      <c r="O31" s="60">
        <f t="shared" si="47"/>
        <v>0</v>
      </c>
      <c r="P31" s="60">
        <f t="shared" ref="P31:P39" si="60">AO31</f>
        <v>1.9</v>
      </c>
      <c r="Q31" s="60">
        <f t="shared" ref="Q31:Q39" si="61">AM31</f>
        <v>2.0599999999999996</v>
      </c>
      <c r="R31" s="60">
        <f t="shared" si="48"/>
        <v>0</v>
      </c>
      <c r="S31" s="60">
        <f t="shared" si="49"/>
        <v>0</v>
      </c>
      <c r="T31" s="61">
        <f t="shared" si="50"/>
        <v>0</v>
      </c>
      <c r="U31" s="60">
        <f t="shared" si="51"/>
        <v>0</v>
      </c>
      <c r="V31" s="60">
        <f t="shared" si="52"/>
        <v>0</v>
      </c>
      <c r="W31" s="60">
        <f t="shared" si="53"/>
        <v>0</v>
      </c>
      <c r="X31" s="61">
        <f t="shared" si="54"/>
        <v>0</v>
      </c>
      <c r="Y31" s="60">
        <f>IF(AND(AM31&gt;=0.8,AM31&lt;=2),0.31*B31,0.35*B31)</f>
        <v>0</v>
      </c>
      <c r="Z31" s="60">
        <v>0</v>
      </c>
      <c r="AA31" s="60">
        <f>36.08*B31</f>
        <v>0</v>
      </c>
      <c r="AB31" s="8">
        <f t="shared" si="55"/>
        <v>0</v>
      </c>
      <c r="AC31" s="8">
        <f t="shared" si="56"/>
        <v>0</v>
      </c>
      <c r="AD31" s="8">
        <f t="shared" si="57"/>
        <v>0</v>
      </c>
      <c r="AE31" s="8">
        <f t="shared" si="58"/>
        <v>0</v>
      </c>
      <c r="AF31" s="9">
        <f t="shared" si="59"/>
        <v>0</v>
      </c>
      <c r="AG31" s="7"/>
      <c r="AJ31" s="26"/>
      <c r="AK31" s="55">
        <v>4</v>
      </c>
      <c r="AL31" s="55">
        <v>0.24</v>
      </c>
      <c r="AM31" s="38">
        <f>IF(AK31+0.1-AO31-0.16&gt;=0.4,AK31+0.1-AO31-0.14,0.4)</f>
        <v>2.0599999999999996</v>
      </c>
      <c r="AN31" s="62">
        <f>IF(AND(AM31&gt;=0.8,AM31&lt;=2),0.14,0.16)</f>
        <v>0.16</v>
      </c>
      <c r="AO31" s="38">
        <v>1.9</v>
      </c>
      <c r="AP31" s="38">
        <f>AK31-AM31-1-0.1</f>
        <v>0.84000000000000041</v>
      </c>
      <c r="AQ31" s="38">
        <v>2.64</v>
      </c>
      <c r="AR31" s="38">
        <f>(2.88*2.58-1.88*1.58)</f>
        <v>4.4599999999999991</v>
      </c>
      <c r="AS31" s="63"/>
    </row>
    <row r="32" spans="1:45" ht="21.75" hidden="1" customHeight="1" x14ac:dyDescent="0.15">
      <c r="A32" s="58" t="s">
        <v>241</v>
      </c>
      <c r="B32" s="59"/>
      <c r="C32" s="7" t="s">
        <v>113</v>
      </c>
      <c r="D32" s="60">
        <f>0.47*B32</f>
        <v>0</v>
      </c>
      <c r="E32" s="60">
        <f>0.85*B32</f>
        <v>0</v>
      </c>
      <c r="F32" s="60">
        <f>B32*36.5</f>
        <v>0</v>
      </c>
      <c r="G32" s="60">
        <v>0</v>
      </c>
      <c r="H32" s="60">
        <v>0</v>
      </c>
      <c r="I32" s="60">
        <f>B32*9.1</f>
        <v>0</v>
      </c>
      <c r="J32" s="60">
        <f>IF(AK32&lt;=4,B32*(107.2-9.1),B32*(142.8-9.1))</f>
        <v>0</v>
      </c>
      <c r="K32" s="60">
        <f>B32*2.74</f>
        <v>0</v>
      </c>
      <c r="L32" s="60"/>
      <c r="M32" s="60">
        <f>5.97*B32</f>
        <v>0</v>
      </c>
      <c r="N32" s="60"/>
      <c r="O32" s="60">
        <f t="shared" si="47"/>
        <v>0</v>
      </c>
      <c r="P32" s="60">
        <f t="shared" si="60"/>
        <v>1.92</v>
      </c>
      <c r="Q32" s="60">
        <f t="shared" si="61"/>
        <v>2.04</v>
      </c>
      <c r="R32" s="60">
        <f t="shared" si="48"/>
        <v>0</v>
      </c>
      <c r="S32" s="60">
        <f t="shared" si="49"/>
        <v>0</v>
      </c>
      <c r="T32" s="61">
        <f t="shared" si="50"/>
        <v>0</v>
      </c>
      <c r="U32" s="60">
        <f t="shared" si="51"/>
        <v>0</v>
      </c>
      <c r="V32" s="60">
        <f t="shared" si="52"/>
        <v>0</v>
      </c>
      <c r="W32" s="60">
        <f t="shared" si="53"/>
        <v>0</v>
      </c>
      <c r="X32" s="61">
        <f t="shared" si="54"/>
        <v>0</v>
      </c>
      <c r="Y32" s="60">
        <f>0.42*B32</f>
        <v>0</v>
      </c>
      <c r="Z32" s="60">
        <v>0</v>
      </c>
      <c r="AA32" s="60">
        <f>IF(AND(AM32&gt;=0.4,AM32&lt;=2),45.59*B32,53.25*B32)</f>
        <v>0</v>
      </c>
      <c r="AB32" s="8">
        <f t="shared" si="55"/>
        <v>0</v>
      </c>
      <c r="AC32" s="8">
        <f t="shared" si="56"/>
        <v>0</v>
      </c>
      <c r="AD32" s="8">
        <f t="shared" si="57"/>
        <v>0</v>
      </c>
      <c r="AE32" s="8">
        <f t="shared" si="58"/>
        <v>0</v>
      </c>
      <c r="AF32" s="9">
        <f t="shared" si="59"/>
        <v>0</v>
      </c>
      <c r="AG32" s="7"/>
      <c r="AJ32" s="26"/>
      <c r="AK32" s="55">
        <v>4</v>
      </c>
      <c r="AL32" s="55">
        <v>0.24</v>
      </c>
      <c r="AM32" s="38">
        <f>IF(AK32+0.12-AO32-0.16&gt;=0.4,AK32+0.12-AO32-0.16,0.4)</f>
        <v>2.04</v>
      </c>
      <c r="AN32" s="62">
        <v>0.16</v>
      </c>
      <c r="AO32" s="38">
        <v>1.92</v>
      </c>
      <c r="AP32" s="38">
        <f>AK32-AM32-1.2-0.12</f>
        <v>0.64</v>
      </c>
      <c r="AQ32" s="38">
        <v>2.64</v>
      </c>
      <c r="AR32" s="38">
        <f>(3.18*2.58-2.18*1.58)</f>
        <v>4.7600000000000016</v>
      </c>
      <c r="AS32" s="63"/>
    </row>
    <row r="33" spans="1:46" ht="21.95" hidden="1" customHeight="1" x14ac:dyDescent="0.15">
      <c r="A33" s="58" t="s">
        <v>241</v>
      </c>
      <c r="B33" s="59"/>
      <c r="C33" s="7" t="s">
        <v>114</v>
      </c>
      <c r="D33" s="60">
        <f>0.5*B33</f>
        <v>0</v>
      </c>
      <c r="E33" s="60">
        <f>0.92*B33</f>
        <v>0</v>
      </c>
      <c r="F33" s="60">
        <f>B33*46.68</f>
        <v>0</v>
      </c>
      <c r="G33" s="60">
        <v>0</v>
      </c>
      <c r="H33" s="60">
        <v>0</v>
      </c>
      <c r="I33" s="60">
        <f>B33*10</f>
        <v>0</v>
      </c>
      <c r="J33" s="60">
        <f>IF(AK33&lt;=4,B33*(115.8-10),B33*(154.2-10))</f>
        <v>0</v>
      </c>
      <c r="K33" s="60">
        <f>B33*2.79</f>
        <v>0</v>
      </c>
      <c r="L33" s="60"/>
      <c r="M33" s="60">
        <f>6.83*B33</f>
        <v>0</v>
      </c>
      <c r="N33" s="60"/>
      <c r="O33" s="60">
        <f t="shared" si="47"/>
        <v>0</v>
      </c>
      <c r="P33" s="60">
        <f t="shared" si="60"/>
        <v>1.94</v>
      </c>
      <c r="Q33" s="60">
        <f t="shared" si="61"/>
        <v>2.0349999999999997</v>
      </c>
      <c r="R33" s="60">
        <f t="shared" si="48"/>
        <v>0</v>
      </c>
      <c r="S33" s="60">
        <f t="shared" si="49"/>
        <v>0</v>
      </c>
      <c r="T33" s="61">
        <f t="shared" si="50"/>
        <v>0</v>
      </c>
      <c r="U33" s="60">
        <f t="shared" si="51"/>
        <v>0</v>
      </c>
      <c r="V33" s="60">
        <f t="shared" si="52"/>
        <v>0</v>
      </c>
      <c r="W33" s="60">
        <f t="shared" si="53"/>
        <v>0</v>
      </c>
      <c r="X33" s="61">
        <f t="shared" si="54"/>
        <v>0</v>
      </c>
      <c r="Y33" s="60">
        <f>0.47*B33</f>
        <v>0</v>
      </c>
      <c r="Z33" s="60">
        <v>0</v>
      </c>
      <c r="AA33" s="60">
        <f>IF(AND(AM33&gt;=0.8,AM33&lt;=2),48.86*B33,57.02*B33)</f>
        <v>0</v>
      </c>
      <c r="AB33" s="8">
        <f t="shared" si="55"/>
        <v>0</v>
      </c>
      <c r="AC33" s="8">
        <f t="shared" si="56"/>
        <v>0</v>
      </c>
      <c r="AD33" s="8">
        <f t="shared" si="57"/>
        <v>0</v>
      </c>
      <c r="AE33" s="8">
        <f t="shared" si="58"/>
        <v>0</v>
      </c>
      <c r="AF33" s="9">
        <f t="shared" si="59"/>
        <v>0</v>
      </c>
      <c r="AG33" s="7"/>
      <c r="AJ33" s="26"/>
      <c r="AK33" s="55">
        <v>4</v>
      </c>
      <c r="AL33" s="55">
        <v>0.24</v>
      </c>
      <c r="AM33" s="38">
        <f>IF(AK33+0.135-AO33-0.16&gt;=0.4,AK33+0.135-AO33-0.16,0.4)</f>
        <v>2.0349999999999997</v>
      </c>
      <c r="AN33" s="62">
        <v>0.16</v>
      </c>
      <c r="AO33" s="38">
        <v>1.94</v>
      </c>
      <c r="AP33" s="38">
        <f>AK33-AM33-1.35-0.135</f>
        <v>0.4800000000000002</v>
      </c>
      <c r="AQ33" s="38">
        <v>2.64</v>
      </c>
      <c r="AR33" s="38">
        <f>(3.38*2.58-2.38*1.58)</f>
        <v>4.9599999999999991</v>
      </c>
      <c r="AS33" s="63"/>
    </row>
    <row r="34" spans="1:46" ht="21.95" hidden="1" customHeight="1" x14ac:dyDescent="0.15">
      <c r="A34" s="58" t="s">
        <v>241</v>
      </c>
      <c r="B34" s="59"/>
      <c r="C34" s="7" t="s">
        <v>115</v>
      </c>
      <c r="D34" s="60">
        <f>0.56*B34</f>
        <v>0</v>
      </c>
      <c r="E34" s="60">
        <f>1.03*B34</f>
        <v>0</v>
      </c>
      <c r="F34" s="60">
        <f>B34*53.18</f>
        <v>0</v>
      </c>
      <c r="G34" s="60">
        <v>0</v>
      </c>
      <c r="H34" s="60">
        <v>0</v>
      </c>
      <c r="I34" s="60">
        <f>B34*11.7</f>
        <v>0</v>
      </c>
      <c r="J34" s="60">
        <f>IF(AK34&lt;=4,B34*(123.2-11.7),B34*(163.7-11.7))</f>
        <v>0</v>
      </c>
      <c r="K34" s="60">
        <f>B34*3.38</f>
        <v>0</v>
      </c>
      <c r="L34" s="60"/>
      <c r="M34" s="60">
        <f>8.01*B34</f>
        <v>0</v>
      </c>
      <c r="N34" s="60"/>
      <c r="O34" s="60">
        <f t="shared" si="47"/>
        <v>0</v>
      </c>
      <c r="P34" s="60">
        <f t="shared" si="60"/>
        <v>2.17</v>
      </c>
      <c r="Q34" s="60">
        <f t="shared" si="61"/>
        <v>1.8200000000000005</v>
      </c>
      <c r="R34" s="60">
        <f t="shared" si="48"/>
        <v>0</v>
      </c>
      <c r="S34" s="60">
        <f t="shared" si="49"/>
        <v>0</v>
      </c>
      <c r="T34" s="61">
        <f t="shared" si="50"/>
        <v>0</v>
      </c>
      <c r="U34" s="60">
        <f t="shared" si="51"/>
        <v>0</v>
      </c>
      <c r="V34" s="60">
        <f t="shared" si="52"/>
        <v>0</v>
      </c>
      <c r="W34" s="60">
        <f t="shared" si="53"/>
        <v>0</v>
      </c>
      <c r="X34" s="61">
        <f t="shared" si="54"/>
        <v>0</v>
      </c>
      <c r="Y34" s="60">
        <f>0.54*B34</f>
        <v>0</v>
      </c>
      <c r="Z34" s="60">
        <v>0</v>
      </c>
      <c r="AA34" s="60">
        <f>IF(AND(AM34&gt;=0.8,AM34&lt;=2),54.59*B34,63.78*B34)</f>
        <v>0</v>
      </c>
      <c r="AB34" s="8">
        <f t="shared" si="55"/>
        <v>0</v>
      </c>
      <c r="AC34" s="8">
        <f t="shared" si="56"/>
        <v>0</v>
      </c>
      <c r="AD34" s="8">
        <f t="shared" si="57"/>
        <v>0</v>
      </c>
      <c r="AE34" s="8">
        <f t="shared" si="58"/>
        <v>0</v>
      </c>
      <c r="AF34" s="9">
        <f t="shared" si="59"/>
        <v>0</v>
      </c>
      <c r="AG34" s="7"/>
      <c r="AJ34" s="26"/>
      <c r="AK34" s="55">
        <v>4</v>
      </c>
      <c r="AL34" s="55">
        <v>0.24</v>
      </c>
      <c r="AM34" s="38">
        <f>IF(AK34+0.15-AO34-0.16&gt;=0.4,AK34+0.15-AO34-0.16,0.4)</f>
        <v>1.8200000000000005</v>
      </c>
      <c r="AN34" s="62">
        <v>0.16</v>
      </c>
      <c r="AO34" s="38">
        <v>2.17</v>
      </c>
      <c r="AP34" s="38">
        <f>AK34-AM34-1.5-0.15</f>
        <v>0.52999999999999969</v>
      </c>
      <c r="AQ34" s="38">
        <v>2.64</v>
      </c>
      <c r="AR34" s="38">
        <f>(3.68*2.58-2.68*1.58)</f>
        <v>5.26</v>
      </c>
      <c r="AS34" s="63"/>
    </row>
    <row r="35" spans="1:46" ht="21.95" hidden="1" customHeight="1" x14ac:dyDescent="0.15">
      <c r="A35" s="58" t="s">
        <v>241</v>
      </c>
      <c r="B35" s="59"/>
      <c r="C35" s="7" t="s">
        <v>116</v>
      </c>
      <c r="D35" s="60">
        <f>0.56*B35</f>
        <v>0</v>
      </c>
      <c r="E35" s="60">
        <f>1.03*B35</f>
        <v>0</v>
      </c>
      <c r="F35" s="60">
        <f>B35*53.18</f>
        <v>0</v>
      </c>
      <c r="G35" s="60">
        <v>0</v>
      </c>
      <c r="H35" s="60">
        <v>0</v>
      </c>
      <c r="I35" s="60">
        <f>B35*11.7</f>
        <v>0</v>
      </c>
      <c r="J35" s="60">
        <f>IF(AK35&lt;=4,B35*(130.9-11.7),B35*(174.1-11.7))</f>
        <v>0</v>
      </c>
      <c r="K35" s="60">
        <f>B35*3.38</f>
        <v>0</v>
      </c>
      <c r="L35" s="60"/>
      <c r="M35" s="60">
        <f>8.01*B35</f>
        <v>0</v>
      </c>
      <c r="N35" s="60"/>
      <c r="O35" s="60">
        <f t="shared" si="47"/>
        <v>0</v>
      </c>
      <c r="P35" s="60">
        <f t="shared" si="60"/>
        <v>2.17</v>
      </c>
      <c r="Q35" s="60">
        <f t="shared" si="61"/>
        <v>1.8350000000000002</v>
      </c>
      <c r="R35" s="60">
        <f t="shared" si="48"/>
        <v>0</v>
      </c>
      <c r="S35" s="60">
        <f t="shared" si="49"/>
        <v>0</v>
      </c>
      <c r="T35" s="61">
        <f t="shared" si="50"/>
        <v>0</v>
      </c>
      <c r="U35" s="60">
        <f t="shared" si="51"/>
        <v>0</v>
      </c>
      <c r="V35" s="60">
        <f t="shared" si="52"/>
        <v>0</v>
      </c>
      <c r="W35" s="60">
        <f t="shared" si="53"/>
        <v>0</v>
      </c>
      <c r="X35" s="61">
        <f t="shared" si="54"/>
        <v>0</v>
      </c>
      <c r="Y35" s="60">
        <f>0.54*B35</f>
        <v>0</v>
      </c>
      <c r="Z35" s="60">
        <v>0</v>
      </c>
      <c r="AA35" s="60">
        <f>IF(AND(AM35&gt;=0.8,AM35&lt;=2),54.59*B35,63.78*B35)</f>
        <v>0</v>
      </c>
      <c r="AB35" s="8">
        <f t="shared" si="55"/>
        <v>0</v>
      </c>
      <c r="AC35" s="8">
        <f t="shared" si="56"/>
        <v>0</v>
      </c>
      <c r="AD35" s="8">
        <f t="shared" si="57"/>
        <v>0</v>
      </c>
      <c r="AE35" s="8">
        <f t="shared" si="58"/>
        <v>0</v>
      </c>
      <c r="AF35" s="9">
        <f t="shared" si="59"/>
        <v>0</v>
      </c>
      <c r="AG35" s="7"/>
      <c r="AJ35" s="26"/>
      <c r="AK35" s="55">
        <v>4</v>
      </c>
      <c r="AL35" s="55">
        <v>0.24</v>
      </c>
      <c r="AM35" s="38">
        <f>IF(AK35+0.165-AO35-0.16&gt;=0.4,AK35+0.165-AO35-0.16,0.4)</f>
        <v>1.8350000000000002</v>
      </c>
      <c r="AN35" s="62">
        <v>0.16</v>
      </c>
      <c r="AO35" s="38">
        <v>2.17</v>
      </c>
      <c r="AP35" s="38">
        <f>0.36+0.14</f>
        <v>0.5</v>
      </c>
      <c r="AQ35" s="38">
        <v>2.64</v>
      </c>
      <c r="AR35" s="38">
        <f>(3.68*2.58-2.68*1.58)</f>
        <v>5.26</v>
      </c>
      <c r="AS35" s="63"/>
    </row>
    <row r="36" spans="1:46" ht="21.95" hidden="1" customHeight="1" x14ac:dyDescent="0.15">
      <c r="A36" s="58" t="s">
        <v>241</v>
      </c>
      <c r="B36" s="59"/>
      <c r="C36" s="7" t="s">
        <v>117</v>
      </c>
      <c r="D36" s="60">
        <f>0.74*B36</f>
        <v>0</v>
      </c>
      <c r="E36" s="60">
        <f>1.36*B36</f>
        <v>0</v>
      </c>
      <c r="F36" s="60">
        <f>B36*72.09</f>
        <v>0</v>
      </c>
      <c r="G36" s="60">
        <v>0</v>
      </c>
      <c r="H36" s="60">
        <v>0</v>
      </c>
      <c r="I36" s="60">
        <f>B36*13.3</f>
        <v>0</v>
      </c>
      <c r="J36" s="60">
        <f>IF(AK36&lt;=4,B36*(140.2-13.3),B36*(186.3-13.3))</f>
        <v>0</v>
      </c>
      <c r="K36" s="60">
        <f>B36*5.83</f>
        <v>0</v>
      </c>
      <c r="L36" s="60"/>
      <c r="M36" s="60">
        <f>8.93*B36</f>
        <v>0</v>
      </c>
      <c r="N36" s="60"/>
      <c r="O36" s="60">
        <f t="shared" si="47"/>
        <v>0</v>
      </c>
      <c r="P36" s="60">
        <f t="shared" si="60"/>
        <v>2.41</v>
      </c>
      <c r="Q36" s="60">
        <f t="shared" si="61"/>
        <v>1.6099999999999997</v>
      </c>
      <c r="R36" s="60">
        <f t="shared" si="48"/>
        <v>0</v>
      </c>
      <c r="S36" s="60">
        <f t="shared" si="49"/>
        <v>0</v>
      </c>
      <c r="T36" s="61">
        <f t="shared" si="50"/>
        <v>0</v>
      </c>
      <c r="U36" s="60">
        <f t="shared" si="51"/>
        <v>0</v>
      </c>
      <c r="V36" s="60">
        <f t="shared" si="52"/>
        <v>0</v>
      </c>
      <c r="W36" s="60">
        <f t="shared" si="53"/>
        <v>0</v>
      </c>
      <c r="X36" s="61">
        <f t="shared" si="54"/>
        <v>0</v>
      </c>
      <c r="Y36" s="60">
        <f>IF(AND(AM36&gt;=0.8,AM36&lt;=2),0.52*B36,0.55*B36)</f>
        <v>0</v>
      </c>
      <c r="Z36" s="60">
        <v>0</v>
      </c>
      <c r="AA36" s="60">
        <f>IF(AND(AM36&gt;=0.4,AM36&lt;=2),56.12*B36,66.2*B36)</f>
        <v>0</v>
      </c>
      <c r="AB36" s="8">
        <f t="shared" si="55"/>
        <v>0</v>
      </c>
      <c r="AC36" s="8">
        <f t="shared" si="56"/>
        <v>0</v>
      </c>
      <c r="AD36" s="8">
        <f t="shared" si="57"/>
        <v>0</v>
      </c>
      <c r="AE36" s="8">
        <f t="shared" si="58"/>
        <v>0</v>
      </c>
      <c r="AF36" s="9">
        <f t="shared" si="59"/>
        <v>0</v>
      </c>
      <c r="AG36" s="7"/>
      <c r="AJ36" s="26"/>
      <c r="AK36" s="55">
        <v>4</v>
      </c>
      <c r="AL36" s="55">
        <v>0.24</v>
      </c>
      <c r="AM36" s="38">
        <f>IF(AK36+0.18-AO36-0.16&gt;=0.4,AK36+0.18-AO36-0.16,0.4)</f>
        <v>1.6099999999999997</v>
      </c>
      <c r="AN36" s="62">
        <v>0.16</v>
      </c>
      <c r="AO36" s="38">
        <v>2.41</v>
      </c>
      <c r="AP36" s="38">
        <f t="shared" ref="AP36:AP39" si="62">0.36+0.14</f>
        <v>0.5</v>
      </c>
      <c r="AQ36" s="38">
        <v>2.64</v>
      </c>
      <c r="AR36" s="38">
        <f>(4.14*2.84-3.14*1.84)</f>
        <v>5.9799999999999978</v>
      </c>
      <c r="AS36" s="63"/>
      <c r="AT36" s="1">
        <f>1.1+0.37*2+1</f>
        <v>2.84</v>
      </c>
    </row>
    <row r="37" spans="1:46" ht="21" hidden="1" customHeight="1" x14ac:dyDescent="0.15">
      <c r="A37" s="58" t="s">
        <v>241</v>
      </c>
      <c r="B37" s="59"/>
      <c r="C37" s="7" t="s">
        <v>118</v>
      </c>
      <c r="D37" s="60">
        <f>0.78*B37</f>
        <v>0</v>
      </c>
      <c r="E37" s="60">
        <f>1.44*B37</f>
        <v>0</v>
      </c>
      <c r="F37" s="60">
        <f>B37*76.42</f>
        <v>0</v>
      </c>
      <c r="G37" s="60">
        <v>0</v>
      </c>
      <c r="H37" s="60">
        <v>0</v>
      </c>
      <c r="I37" s="60">
        <f>B37*15</f>
        <v>0</v>
      </c>
      <c r="J37" s="60">
        <f>IF(AK37&lt;=4,B37*(213.9-15),B37*(274.7-15))</f>
        <v>0</v>
      </c>
      <c r="K37" s="60">
        <f>B37*6.82</f>
        <v>0</v>
      </c>
      <c r="L37" s="60"/>
      <c r="M37" s="60">
        <f>9.85*B37</f>
        <v>0</v>
      </c>
      <c r="N37" s="60"/>
      <c r="O37" s="60">
        <f t="shared" si="47"/>
        <v>0</v>
      </c>
      <c r="P37" s="60">
        <f t="shared" si="60"/>
        <v>2.75</v>
      </c>
      <c r="Q37" s="60">
        <f t="shared" si="61"/>
        <v>1.2900000000000003</v>
      </c>
      <c r="R37" s="60">
        <f t="shared" si="48"/>
        <v>0</v>
      </c>
      <c r="S37" s="60">
        <f t="shared" si="49"/>
        <v>0</v>
      </c>
      <c r="T37" s="61">
        <f t="shared" si="50"/>
        <v>0</v>
      </c>
      <c r="U37" s="60">
        <f t="shared" si="51"/>
        <v>0</v>
      </c>
      <c r="V37" s="60">
        <f t="shared" si="52"/>
        <v>0</v>
      </c>
      <c r="W37" s="60">
        <f t="shared" si="53"/>
        <v>0</v>
      </c>
      <c r="X37" s="61">
        <f t="shared" si="54"/>
        <v>0</v>
      </c>
      <c r="Y37" s="60">
        <f>IF(AND(AM37&gt;=0.8,AM37&lt;=2),0.55*B37,0.59*B37)</f>
        <v>0</v>
      </c>
      <c r="Z37" s="60">
        <v>0</v>
      </c>
      <c r="AA37" s="60">
        <f>IF(AND(AM37&gt;=0.4,AM37&lt;=2),58.57*B37,70.45*B37)</f>
        <v>0</v>
      </c>
      <c r="AB37" s="8">
        <f t="shared" si="55"/>
        <v>0</v>
      </c>
      <c r="AC37" s="8">
        <f t="shared" si="56"/>
        <v>0</v>
      </c>
      <c r="AD37" s="8">
        <f t="shared" si="57"/>
        <v>0</v>
      </c>
      <c r="AE37" s="8">
        <f t="shared" si="58"/>
        <v>0</v>
      </c>
      <c r="AF37" s="9">
        <f t="shared" si="59"/>
        <v>0</v>
      </c>
      <c r="AG37" s="7"/>
      <c r="AJ37" s="26"/>
      <c r="AK37" s="55">
        <v>4</v>
      </c>
      <c r="AL37" s="55">
        <v>0.24</v>
      </c>
      <c r="AM37" s="38">
        <f>IF(AK37+0.2-AO37-0.16&gt;=0.4,AK37+0.2-AO37-0.16,0.4)</f>
        <v>1.2900000000000003</v>
      </c>
      <c r="AN37" s="62">
        <v>0.16</v>
      </c>
      <c r="AO37" s="38">
        <v>2.75</v>
      </c>
      <c r="AP37" s="38">
        <f t="shared" si="62"/>
        <v>0.5</v>
      </c>
      <c r="AQ37" s="38">
        <v>2.64</v>
      </c>
      <c r="AR37" s="38">
        <f>(4.34*2.84-3.34*1.84)</f>
        <v>6.18</v>
      </c>
      <c r="AS37" s="63"/>
    </row>
    <row r="38" spans="1:46" ht="21" hidden="1" customHeight="1" x14ac:dyDescent="0.15">
      <c r="A38" s="58" t="s">
        <v>241</v>
      </c>
      <c r="B38" s="59"/>
      <c r="C38" s="7" t="s">
        <v>119</v>
      </c>
      <c r="D38" s="60">
        <f>0.84*B38</f>
        <v>0</v>
      </c>
      <c r="E38" s="60">
        <f>1.57*B38</f>
        <v>0</v>
      </c>
      <c r="F38" s="60">
        <f>B38*84.08</f>
        <v>0</v>
      </c>
      <c r="G38" s="60">
        <v>0</v>
      </c>
      <c r="H38" s="60">
        <v>0</v>
      </c>
      <c r="I38" s="60">
        <f>B38*15</f>
        <v>0</v>
      </c>
      <c r="J38" s="60">
        <f>IF(AK38&lt;=4,B38*(213.9-15),B38*(274.7-15))</f>
        <v>0</v>
      </c>
      <c r="K38" s="60">
        <f>B38*7.86</f>
        <v>0</v>
      </c>
      <c r="L38" s="60"/>
      <c r="M38" s="60">
        <f>11.17*B38</f>
        <v>0</v>
      </c>
      <c r="N38" s="60"/>
      <c r="O38" s="60">
        <f t="shared" si="47"/>
        <v>0</v>
      </c>
      <c r="P38" s="60">
        <f t="shared" si="60"/>
        <v>2.99</v>
      </c>
      <c r="Q38" s="60">
        <f t="shared" si="61"/>
        <v>1.0699999999999996</v>
      </c>
      <c r="R38" s="60">
        <f t="shared" si="48"/>
        <v>0</v>
      </c>
      <c r="S38" s="60">
        <f t="shared" si="49"/>
        <v>0</v>
      </c>
      <c r="T38" s="61">
        <f t="shared" si="50"/>
        <v>0</v>
      </c>
      <c r="U38" s="60">
        <f t="shared" si="51"/>
        <v>0</v>
      </c>
      <c r="V38" s="60">
        <f t="shared" si="52"/>
        <v>0</v>
      </c>
      <c r="W38" s="60">
        <f t="shared" si="53"/>
        <v>0</v>
      </c>
      <c r="X38" s="61">
        <f t="shared" si="54"/>
        <v>0</v>
      </c>
      <c r="Y38" s="60">
        <f>IF(AND(AM38&gt;=0.8,AM38&lt;=2),0.61*B38,0.64*B38)</f>
        <v>0</v>
      </c>
      <c r="Z38" s="60">
        <v>0</v>
      </c>
      <c r="AA38" s="60">
        <f>IF(AND(AM38&gt;=0.4,AM38&lt;=2),64.49*B38,77.26*B38)</f>
        <v>0</v>
      </c>
      <c r="AB38" s="8">
        <f t="shared" si="55"/>
        <v>0</v>
      </c>
      <c r="AC38" s="8">
        <f t="shared" si="56"/>
        <v>0</v>
      </c>
      <c r="AD38" s="8">
        <f t="shared" si="57"/>
        <v>0</v>
      </c>
      <c r="AE38" s="8">
        <f t="shared" si="58"/>
        <v>0</v>
      </c>
      <c r="AF38" s="9">
        <f t="shared" si="59"/>
        <v>0</v>
      </c>
      <c r="AG38" s="7"/>
      <c r="AJ38" s="26"/>
      <c r="AK38" s="55">
        <v>4</v>
      </c>
      <c r="AL38" s="55">
        <v>0.24</v>
      </c>
      <c r="AM38" s="38">
        <f>IF(AK38+0.22-AO38-0.16&gt;=0.4,AK38+0.22-AO38-0.16,0.4)</f>
        <v>1.0699999999999996</v>
      </c>
      <c r="AN38" s="62">
        <v>0.16</v>
      </c>
      <c r="AO38" s="38">
        <v>2.99</v>
      </c>
      <c r="AP38" s="38">
        <f t="shared" si="62"/>
        <v>0.5</v>
      </c>
      <c r="AQ38" s="38">
        <v>2.64</v>
      </c>
      <c r="AR38" s="38">
        <f>(4.64*2.84-3.64*1.84)</f>
        <v>6.4799999999999978</v>
      </c>
      <c r="AS38" s="63"/>
    </row>
    <row r="39" spans="1:46" ht="21" hidden="1" customHeight="1" x14ac:dyDescent="0.15">
      <c r="A39" s="58" t="s">
        <v>241</v>
      </c>
      <c r="B39" s="59"/>
      <c r="C39" s="7" t="s">
        <v>120</v>
      </c>
      <c r="D39" s="60">
        <f>0.89*B39</f>
        <v>0</v>
      </c>
      <c r="E39" s="60">
        <f>1.65*B39</f>
        <v>0</v>
      </c>
      <c r="F39" s="60">
        <f>B39*88.4</f>
        <v>0</v>
      </c>
      <c r="G39" s="60">
        <v>0</v>
      </c>
      <c r="H39" s="60">
        <v>0</v>
      </c>
      <c r="I39" s="60">
        <f>B39*15</f>
        <v>0</v>
      </c>
      <c r="J39" s="60">
        <f>IF(AK39&lt;=4,B39*(213.9-15),B39*(274.7-15))</f>
        <v>0</v>
      </c>
      <c r="K39" s="60">
        <f>B39*8.59</f>
        <v>0</v>
      </c>
      <c r="L39" s="60"/>
      <c r="M39" s="60">
        <f>12.15*B39</f>
        <v>0</v>
      </c>
      <c r="N39" s="60"/>
      <c r="O39" s="60">
        <f t="shared" si="47"/>
        <v>0</v>
      </c>
      <c r="P39" s="60">
        <f t="shared" si="60"/>
        <v>3.23</v>
      </c>
      <c r="Q39" s="60">
        <f t="shared" si="61"/>
        <v>0.8500000000000002</v>
      </c>
      <c r="R39" s="60">
        <f t="shared" si="48"/>
        <v>0</v>
      </c>
      <c r="S39" s="60">
        <f t="shared" si="49"/>
        <v>0</v>
      </c>
      <c r="T39" s="61">
        <f t="shared" si="50"/>
        <v>0</v>
      </c>
      <c r="U39" s="60">
        <f t="shared" si="51"/>
        <v>0</v>
      </c>
      <c r="V39" s="60">
        <f t="shared" si="52"/>
        <v>0</v>
      </c>
      <c r="W39" s="60">
        <f t="shared" si="53"/>
        <v>0</v>
      </c>
      <c r="X39" s="61">
        <f t="shared" si="54"/>
        <v>0</v>
      </c>
      <c r="Y39" s="60">
        <f>IF(AND(AM39&gt;=0.8,AM39&lt;=2),0.64*B39,0.68*B39)</f>
        <v>0</v>
      </c>
      <c r="Z39" s="60">
        <v>0</v>
      </c>
      <c r="AA39" s="60">
        <f>IF(AND(AM39&gt;=0.4,AM39&lt;=2),68.53*B39,82.19*B39)</f>
        <v>0</v>
      </c>
      <c r="AB39" s="8">
        <f t="shared" si="55"/>
        <v>0</v>
      </c>
      <c r="AC39" s="8">
        <f t="shared" si="56"/>
        <v>0</v>
      </c>
      <c r="AD39" s="8">
        <f t="shared" si="57"/>
        <v>0</v>
      </c>
      <c r="AE39" s="8">
        <f t="shared" si="58"/>
        <v>0</v>
      </c>
      <c r="AF39" s="9">
        <f t="shared" si="59"/>
        <v>0</v>
      </c>
      <c r="AG39" s="7"/>
      <c r="AJ39" s="26"/>
      <c r="AK39" s="55">
        <v>4</v>
      </c>
      <c r="AL39" s="55">
        <v>0.24</v>
      </c>
      <c r="AM39" s="38">
        <f>IF(AK39+0.24-AO39-0.16&gt;=0.4,AK39+0.24-AO39-0.16,0.4)</f>
        <v>0.8500000000000002</v>
      </c>
      <c r="AN39" s="62">
        <v>0.16</v>
      </c>
      <c r="AO39" s="38">
        <v>3.23</v>
      </c>
      <c r="AP39" s="38">
        <f t="shared" si="62"/>
        <v>0.5</v>
      </c>
      <c r="AQ39" s="38">
        <v>2.64</v>
      </c>
      <c r="AR39" s="38">
        <f>(4.84*2.84-3.84*1.84)</f>
        <v>6.68</v>
      </c>
      <c r="AS39" s="63"/>
    </row>
    <row r="40" spans="1:46" ht="21" hidden="1" customHeight="1" x14ac:dyDescent="0.15">
      <c r="A40" s="58" t="s">
        <v>27</v>
      </c>
      <c r="B40" s="59">
        <f>SUM(B30:B39)</f>
        <v>0</v>
      </c>
      <c r="C40" s="7" t="s">
        <v>82</v>
      </c>
      <c r="D40" s="60">
        <f t="shared" ref="D40:J40" si="63">SUM(D30:D39)</f>
        <v>0</v>
      </c>
      <c r="E40" s="60">
        <f t="shared" si="63"/>
        <v>0</v>
      </c>
      <c r="F40" s="60">
        <f t="shared" si="63"/>
        <v>0</v>
      </c>
      <c r="G40" s="60">
        <f t="shared" si="63"/>
        <v>0</v>
      </c>
      <c r="H40" s="60">
        <f t="shared" si="63"/>
        <v>0</v>
      </c>
      <c r="I40" s="60">
        <f t="shared" si="63"/>
        <v>0</v>
      </c>
      <c r="J40" s="60">
        <f t="shared" si="63"/>
        <v>0</v>
      </c>
      <c r="K40" s="60">
        <f>SUM(K30:K39)</f>
        <v>0</v>
      </c>
      <c r="L40" s="60"/>
      <c r="M40" s="60">
        <f t="shared" ref="M40:AF40" si="64">SUM(M30:M39)</f>
        <v>0</v>
      </c>
      <c r="N40" s="60"/>
      <c r="O40" s="60">
        <f t="shared" si="64"/>
        <v>0</v>
      </c>
      <c r="P40" s="60">
        <f t="shared" si="64"/>
        <v>23.360000000000003</v>
      </c>
      <c r="Q40" s="60">
        <f t="shared" si="64"/>
        <v>16.670000000000002</v>
      </c>
      <c r="R40" s="60">
        <f t="shared" si="64"/>
        <v>0</v>
      </c>
      <c r="S40" s="60">
        <f t="shared" si="64"/>
        <v>0</v>
      </c>
      <c r="T40" s="61">
        <f t="shared" si="64"/>
        <v>0</v>
      </c>
      <c r="U40" s="60">
        <f t="shared" si="64"/>
        <v>0</v>
      </c>
      <c r="V40" s="60">
        <f t="shared" si="64"/>
        <v>0</v>
      </c>
      <c r="W40" s="60">
        <f t="shared" si="64"/>
        <v>0</v>
      </c>
      <c r="X40" s="61">
        <f t="shared" si="64"/>
        <v>0</v>
      </c>
      <c r="Y40" s="60">
        <f t="shared" si="64"/>
        <v>0</v>
      </c>
      <c r="Z40" s="60">
        <f t="shared" si="64"/>
        <v>0</v>
      </c>
      <c r="AA40" s="60">
        <f t="shared" si="64"/>
        <v>0</v>
      </c>
      <c r="AB40" s="8">
        <f t="shared" si="64"/>
        <v>0</v>
      </c>
      <c r="AC40" s="8">
        <f t="shared" si="64"/>
        <v>0</v>
      </c>
      <c r="AD40" s="8">
        <f t="shared" si="64"/>
        <v>0</v>
      </c>
      <c r="AE40" s="8">
        <f t="shared" si="64"/>
        <v>0</v>
      </c>
      <c r="AF40" s="9">
        <f t="shared" si="64"/>
        <v>0</v>
      </c>
      <c r="AG40" s="7"/>
      <c r="AJ40" s="26"/>
      <c r="AK40" s="55"/>
      <c r="AL40" s="55"/>
      <c r="AM40" s="38"/>
      <c r="AN40" s="62"/>
      <c r="AO40" s="38"/>
      <c r="AP40" s="38"/>
      <c r="AQ40" s="38"/>
      <c r="AR40" s="38"/>
      <c r="AS40" s="63"/>
    </row>
    <row r="41" spans="1:46" ht="21" customHeight="1" x14ac:dyDescent="0.15">
      <c r="A41" s="397" t="s">
        <v>53</v>
      </c>
      <c r="B41" s="398"/>
      <c r="C41" s="398"/>
      <c r="D41" s="398"/>
      <c r="E41" s="398"/>
      <c r="F41" s="398"/>
      <c r="G41" s="398"/>
      <c r="H41" s="398"/>
      <c r="I41" s="398"/>
      <c r="J41" s="398"/>
      <c r="K41" s="398"/>
      <c r="L41" s="398"/>
      <c r="M41" s="398"/>
      <c r="N41" s="398"/>
      <c r="O41" s="398"/>
      <c r="P41" s="398"/>
      <c r="Q41" s="398"/>
      <c r="R41" s="398"/>
      <c r="S41" s="398"/>
      <c r="T41" s="398"/>
      <c r="U41" s="398"/>
      <c r="V41" s="398"/>
      <c r="W41" s="398"/>
      <c r="X41" s="398"/>
      <c r="Y41" s="398"/>
      <c r="Z41" s="398"/>
      <c r="AA41" s="398"/>
      <c r="AB41" s="398"/>
      <c r="AC41" s="398"/>
      <c r="AD41" s="398"/>
      <c r="AE41" s="398"/>
      <c r="AF41" s="398"/>
      <c r="AG41" s="399"/>
      <c r="AJ41" s="26"/>
      <c r="AK41" s="55"/>
      <c r="AL41" s="55"/>
      <c r="AM41" s="38"/>
      <c r="AN41" s="62"/>
      <c r="AO41" s="38"/>
      <c r="AP41" s="38"/>
      <c r="AQ41" s="38"/>
      <c r="AR41" s="38"/>
      <c r="AS41" s="63"/>
    </row>
    <row r="42" spans="1:46" ht="21.95" customHeight="1" x14ac:dyDescent="0.15">
      <c r="A42" s="383" t="s">
        <v>238</v>
      </c>
      <c r="B42" s="383"/>
      <c r="C42" s="383"/>
      <c r="D42" s="383"/>
      <c r="E42" s="383"/>
      <c r="F42" s="383"/>
      <c r="G42" s="383"/>
      <c r="H42" s="383"/>
      <c r="I42" s="383"/>
      <c r="J42" s="383"/>
      <c r="K42" s="383"/>
      <c r="L42" s="383"/>
      <c r="M42" s="383"/>
      <c r="N42" s="383"/>
      <c r="O42" s="383"/>
      <c r="P42" s="383"/>
      <c r="Q42" s="383"/>
      <c r="R42" s="383"/>
      <c r="S42" s="383"/>
      <c r="T42" s="383"/>
      <c r="U42" s="383"/>
      <c r="V42" s="383"/>
      <c r="W42" s="383"/>
      <c r="X42" s="383"/>
      <c r="Y42" s="383"/>
      <c r="Z42" s="383"/>
      <c r="AA42" s="383"/>
      <c r="AB42" s="383"/>
      <c r="AC42" s="383"/>
      <c r="AD42" s="383"/>
      <c r="AE42" s="383"/>
      <c r="AF42" s="383"/>
      <c r="AG42" s="383"/>
      <c r="AK42" s="53" t="s">
        <v>73</v>
      </c>
      <c r="AL42" s="55" t="s">
        <v>74</v>
      </c>
      <c r="AM42" s="43" t="s">
        <v>75</v>
      </c>
      <c r="AN42" s="56" t="s">
        <v>101</v>
      </c>
      <c r="AO42" s="43" t="s">
        <v>76</v>
      </c>
      <c r="AP42" s="43" t="s">
        <v>77</v>
      </c>
      <c r="AQ42" s="43" t="s">
        <v>78</v>
      </c>
      <c r="AR42" s="57" t="s">
        <v>79</v>
      </c>
      <c r="AS42" s="40"/>
    </row>
    <row r="43" spans="1:46" ht="21.95" hidden="1" customHeight="1" x14ac:dyDescent="0.15">
      <c r="A43" s="58" t="s">
        <v>243</v>
      </c>
      <c r="B43" s="59"/>
      <c r="C43" s="7" t="s">
        <v>244</v>
      </c>
      <c r="D43" s="60">
        <v>0</v>
      </c>
      <c r="E43" s="60">
        <v>0</v>
      </c>
      <c r="F43" s="60">
        <v>0</v>
      </c>
      <c r="G43" s="60">
        <v>0</v>
      </c>
      <c r="H43" s="60">
        <v>0</v>
      </c>
      <c r="I43" s="60">
        <f>7.6*B43</f>
        <v>0</v>
      </c>
      <c r="J43" s="60">
        <f>IF(AK43&lt;=4,B43*(90.4-7.6),B43*(120.4-7.6))</f>
        <v>0</v>
      </c>
      <c r="K43" s="60">
        <v>0</v>
      </c>
      <c r="L43" s="60">
        <v>0</v>
      </c>
      <c r="M43" s="60">
        <v>0</v>
      </c>
      <c r="N43" s="11">
        <f>0.4*B43*AM43</f>
        <v>0</v>
      </c>
      <c r="O43" s="60">
        <f t="shared" ref="O43" si="65">0.71*B43*AM43</f>
        <v>0</v>
      </c>
      <c r="P43" s="60">
        <f>AO43</f>
        <v>0</v>
      </c>
      <c r="Q43" s="60">
        <f>AM43</f>
        <v>1.5</v>
      </c>
      <c r="R43" s="60">
        <f t="shared" ref="R43" si="66">0.253*0.1*B43</f>
        <v>0</v>
      </c>
      <c r="S43" s="60">
        <f t="shared" ref="S43" si="67">2.53*0.395*B43</f>
        <v>0</v>
      </c>
      <c r="T43" s="61">
        <f t="shared" ref="T43" si="68">B43</f>
        <v>0</v>
      </c>
      <c r="U43" s="60">
        <v>0</v>
      </c>
      <c r="V43" s="60">
        <v>0</v>
      </c>
      <c r="W43" s="60">
        <v>0</v>
      </c>
      <c r="X43" s="60">
        <v>0</v>
      </c>
      <c r="Y43" s="60">
        <v>0</v>
      </c>
      <c r="Z43" s="60">
        <v>0</v>
      </c>
      <c r="AA43" s="60">
        <v>0</v>
      </c>
      <c r="AB43" s="8">
        <f t="shared" ref="AB43" si="69">AK43/0.36*B43</f>
        <v>0</v>
      </c>
      <c r="AC43" s="8">
        <f t="shared" ref="AC43" si="70">B43*1</f>
        <v>0</v>
      </c>
      <c r="AD43" s="8">
        <f t="shared" ref="AD43" si="71">AC43</f>
        <v>0</v>
      </c>
      <c r="AE43" s="8">
        <f t="shared" ref="AE43" si="72">8*B43</f>
        <v>0</v>
      </c>
      <c r="AF43" s="9">
        <f t="shared" ref="AF43" si="73">IF(AM43&gt;=AL43,((AM43-AL43)*AQ43+AP43*AR43)*B43,((AP43+AM43-AL43)*AR43)*B43)</f>
        <v>0</v>
      </c>
      <c r="AG43" s="7"/>
      <c r="AJ43" s="26"/>
      <c r="AK43" s="55">
        <v>2.4</v>
      </c>
      <c r="AL43" s="55">
        <v>0</v>
      </c>
      <c r="AM43" s="38">
        <v>1.5</v>
      </c>
      <c r="AN43" s="62">
        <f>IF(0.8&lt;=AM43&lt;=2,0.14,0.16)</f>
        <v>0.16</v>
      </c>
      <c r="AO43" s="38">
        <v>0</v>
      </c>
      <c r="AP43" s="38">
        <f>AK43-AM43-0.8-0.08</f>
        <v>1.9999999999999865E-2</v>
      </c>
      <c r="AQ43" s="38">
        <v>2.64</v>
      </c>
      <c r="AR43" s="38">
        <f>(3.18*3.08-2.18*2.08)</f>
        <v>5.2600000000000007</v>
      </c>
      <c r="AS43" s="63"/>
    </row>
    <row r="44" spans="1:46" ht="21.95" customHeight="1" x14ac:dyDescent="0.15">
      <c r="A44" s="58" t="s">
        <v>241</v>
      </c>
      <c r="B44" s="59">
        <v>6</v>
      </c>
      <c r="C44" s="7" t="s">
        <v>415</v>
      </c>
      <c r="D44" s="60">
        <f>0.34*B44</f>
        <v>2.04</v>
      </c>
      <c r="E44" s="60">
        <f>0.61*B44</f>
        <v>3.66</v>
      </c>
      <c r="F44" s="60">
        <f>(B44)*56.26</f>
        <v>337.56</v>
      </c>
      <c r="G44" s="60">
        <v>0</v>
      </c>
      <c r="H44" s="60">
        <v>0</v>
      </c>
      <c r="I44" s="60">
        <f>7.6*B44</f>
        <v>45.599999999999994</v>
      </c>
      <c r="J44" s="60">
        <f>IF(AK44&lt;=4,B44*(90.4-7.6),B44*(120.4-7.6))</f>
        <v>496.80000000000007</v>
      </c>
      <c r="K44" s="60">
        <f>B44*1.74</f>
        <v>10.44</v>
      </c>
      <c r="L44" s="60">
        <f>IF(0.4&lt;=AM44&lt;=2,225.2*B44,228.22*B44)</f>
        <v>1369.32</v>
      </c>
      <c r="M44" s="60">
        <f>0.25*B44</f>
        <v>1.5</v>
      </c>
      <c r="N44" s="11">
        <f>0.4*B44*AM44</f>
        <v>1.1040000000000003</v>
      </c>
      <c r="O44" s="60">
        <f t="shared" ref="O44:O53" si="74">0.71*B44*AM44</f>
        <v>1.9596000000000002</v>
      </c>
      <c r="P44" s="60">
        <f>AO44</f>
        <v>1.88</v>
      </c>
      <c r="Q44" s="60">
        <f>AM44</f>
        <v>0.46000000000000008</v>
      </c>
      <c r="R44" s="60">
        <f t="shared" ref="R44:R53" si="75">0.253*0.1*B44</f>
        <v>0.15180000000000002</v>
      </c>
      <c r="S44" s="60">
        <f t="shared" ref="S44:S53" si="76">2.53*0.395*B44</f>
        <v>5.9961000000000002</v>
      </c>
      <c r="T44" s="61">
        <f t="shared" ref="T44:T53" si="77">B44</f>
        <v>6</v>
      </c>
      <c r="U44" s="60">
        <f t="shared" ref="U44:U53" si="78">0.167*B44</f>
        <v>1.002</v>
      </c>
      <c r="V44" s="60">
        <f>4.83*B44</f>
        <v>28.98</v>
      </c>
      <c r="W44" s="60">
        <f>(21.38-4.83)*B44</f>
        <v>99.299999999999983</v>
      </c>
      <c r="X44" s="61">
        <f t="shared" ref="X44:X53" si="79">B44</f>
        <v>6</v>
      </c>
      <c r="Y44" s="60">
        <f>IF(AND(AM44&gt;=0.8,AM44&lt;=2),0.27*B44,0.3*B44)</f>
        <v>1.7999999999999998</v>
      </c>
      <c r="Z44" s="60">
        <v>0</v>
      </c>
      <c r="AA44" s="60">
        <f>34.91*B44</f>
        <v>209.45999999999998</v>
      </c>
      <c r="AB44" s="8">
        <f t="shared" ref="AB44:AB53" si="80">AK44/0.36*B44</f>
        <v>40</v>
      </c>
      <c r="AC44" s="8">
        <f t="shared" ref="AC44:AC53" si="81">B44*1</f>
        <v>6</v>
      </c>
      <c r="AD44" s="8">
        <f t="shared" ref="AD44:AD53" si="82">AC44</f>
        <v>6</v>
      </c>
      <c r="AE44" s="8">
        <f t="shared" ref="AE44:AE53" si="83">8*B44</f>
        <v>48</v>
      </c>
      <c r="AF44" s="9">
        <f t="shared" ref="AF44:AF53" si="84">IF(AM44&gt;=AL44,((AM44-AL44)*AQ44+AP44*AR44)*B44,((AP44+AM44-AL44)*AR44)*B44)</f>
        <v>40.74</v>
      </c>
      <c r="AG44" s="7"/>
      <c r="AJ44" s="26"/>
      <c r="AK44" s="55">
        <v>2.4</v>
      </c>
      <c r="AL44" s="55">
        <v>0</v>
      </c>
      <c r="AM44" s="38">
        <f>IF(AK44+0.08-AO44-0.16&gt;=0.4,AK44+0.08-AO44-0.14,0.4)</f>
        <v>0.46000000000000008</v>
      </c>
      <c r="AN44" s="62">
        <f>IF(0.8&lt;=AM44&lt;=2,0.14,0.16)</f>
        <v>0.16</v>
      </c>
      <c r="AO44" s="38">
        <v>1.88</v>
      </c>
      <c r="AP44" s="38">
        <f>AK44-AM44-0.8-0.08</f>
        <v>1.0599999999999998</v>
      </c>
      <c r="AQ44" s="38">
        <v>2.64</v>
      </c>
      <c r="AR44" s="38">
        <f>(3.18*3.08-2.18*2.08)</f>
        <v>5.2600000000000007</v>
      </c>
      <c r="AS44" s="63"/>
    </row>
    <row r="45" spans="1:46" ht="21.95" hidden="1" customHeight="1" x14ac:dyDescent="0.15">
      <c r="A45" s="58" t="s">
        <v>241</v>
      </c>
      <c r="B45" s="245"/>
      <c r="C45" s="7" t="s">
        <v>370</v>
      </c>
      <c r="D45" s="60">
        <f>0.38*B45</f>
        <v>0</v>
      </c>
      <c r="E45" s="60">
        <f>0.68*B45</f>
        <v>0</v>
      </c>
      <c r="F45" s="60">
        <f>B45*62.34</f>
        <v>0</v>
      </c>
      <c r="G45" s="60">
        <v>0</v>
      </c>
      <c r="H45" s="60">
        <v>0</v>
      </c>
      <c r="I45" s="60">
        <f>B45*7.6</f>
        <v>0</v>
      </c>
      <c r="J45" s="60">
        <f>IF(AK45&lt;=4,B45*(98.1-7.6),B45*(131.6-7.6))</f>
        <v>0</v>
      </c>
      <c r="K45" s="60">
        <f>B45*1.75</f>
        <v>0</v>
      </c>
      <c r="L45" s="60">
        <f>IF(0.4&lt;=AM45&lt;=2,240.68*B45,243.888*B45)</f>
        <v>0</v>
      </c>
      <c r="M45" s="60">
        <f>0.34*B45</f>
        <v>0</v>
      </c>
      <c r="N45" s="11">
        <f t="shared" ref="N45:N53" si="85">0.4*B45*AM45</f>
        <v>0</v>
      </c>
      <c r="O45" s="60">
        <f t="shared" si="74"/>
        <v>0</v>
      </c>
      <c r="P45" s="60">
        <f t="shared" ref="P45:P53" si="86">AO45</f>
        <v>1.9</v>
      </c>
      <c r="Q45" s="60">
        <f t="shared" ref="Q45:Q53" si="87">AM45</f>
        <v>0.66000000000000025</v>
      </c>
      <c r="R45" s="60">
        <f t="shared" si="75"/>
        <v>0</v>
      </c>
      <c r="S45" s="60">
        <f t="shared" si="76"/>
        <v>0</v>
      </c>
      <c r="T45" s="61">
        <f t="shared" si="77"/>
        <v>0</v>
      </c>
      <c r="U45" s="60">
        <f t="shared" si="78"/>
        <v>0</v>
      </c>
      <c r="V45" s="60">
        <f t="shared" ref="V45:V48" si="88">4.83*B45</f>
        <v>0</v>
      </c>
      <c r="W45" s="60">
        <f t="shared" ref="W45:W48" si="89">(21.38-4.83)*B45</f>
        <v>0</v>
      </c>
      <c r="X45" s="61">
        <f t="shared" si="79"/>
        <v>0</v>
      </c>
      <c r="Y45" s="60">
        <f>IF(AND(AM45&gt;=0.8,AM45&lt;=2),0.31*B45,0.35*B45)</f>
        <v>0</v>
      </c>
      <c r="Z45" s="60">
        <v>0</v>
      </c>
      <c r="AA45" s="60">
        <f>36.08*B45</f>
        <v>0</v>
      </c>
      <c r="AB45" s="8">
        <f t="shared" si="80"/>
        <v>0</v>
      </c>
      <c r="AC45" s="8">
        <f t="shared" si="81"/>
        <v>0</v>
      </c>
      <c r="AD45" s="8">
        <f t="shared" si="82"/>
        <v>0</v>
      </c>
      <c r="AE45" s="8">
        <f t="shared" si="83"/>
        <v>0</v>
      </c>
      <c r="AF45" s="9">
        <f t="shared" si="84"/>
        <v>0</v>
      </c>
      <c r="AG45" s="7"/>
      <c r="AJ45" s="26"/>
      <c r="AK45" s="55">
        <v>2.6</v>
      </c>
      <c r="AL45" s="55">
        <v>0</v>
      </c>
      <c r="AM45" s="38">
        <f>IF(AK45+0.1-AO45-0.16&gt;=0.4,AK45+0.1-AO45-0.14,0.4)</f>
        <v>0.66000000000000025</v>
      </c>
      <c r="AN45" s="62">
        <f>IF(0.8&lt;=AM45&lt;=2,0.14,0.16)</f>
        <v>0.16</v>
      </c>
      <c r="AO45" s="38">
        <v>1.9</v>
      </c>
      <c r="AP45" s="38">
        <f>AK45-AM45-1-0.1</f>
        <v>0.84</v>
      </c>
      <c r="AQ45" s="38">
        <v>2.64</v>
      </c>
      <c r="AR45" s="38">
        <f>(3.38*3.08-2.38*2.08)</f>
        <v>5.4599999999999991</v>
      </c>
      <c r="AS45" s="63"/>
    </row>
    <row r="46" spans="1:46" ht="21.75" hidden="1" customHeight="1" x14ac:dyDescent="0.15">
      <c r="A46" s="58" t="s">
        <v>241</v>
      </c>
      <c r="B46" s="245"/>
      <c r="C46" s="7" t="s">
        <v>371</v>
      </c>
      <c r="D46" s="60">
        <f>0.43*B46</f>
        <v>0</v>
      </c>
      <c r="E46" s="60">
        <f>0.78*B46</f>
        <v>0</v>
      </c>
      <c r="F46" s="60">
        <f>B46*70.01</f>
        <v>0</v>
      </c>
      <c r="G46" s="60">
        <v>0</v>
      </c>
      <c r="H46" s="60">
        <v>0</v>
      </c>
      <c r="I46" s="60">
        <f>B46*9.1</f>
        <v>0</v>
      </c>
      <c r="J46" s="60">
        <f>IF(AK46&lt;=4,B46*(107.2-9.1),B46*(142.8-9.1))</f>
        <v>0</v>
      </c>
      <c r="K46" s="60">
        <f>B46*1.81</f>
        <v>0</v>
      </c>
      <c r="L46" s="60">
        <f>IF(0.4&lt;=AM46&lt;=2,259.868*B46,263.24*B46)</f>
        <v>0</v>
      </c>
      <c r="M46" s="60">
        <f>0.5*B46</f>
        <v>0</v>
      </c>
      <c r="N46" s="11">
        <f t="shared" si="85"/>
        <v>0</v>
      </c>
      <c r="O46" s="60">
        <f t="shared" si="74"/>
        <v>0</v>
      </c>
      <c r="P46" s="60">
        <f t="shared" si="86"/>
        <v>1.92</v>
      </c>
      <c r="Q46" s="60">
        <f t="shared" si="87"/>
        <v>0.84</v>
      </c>
      <c r="R46" s="60">
        <f t="shared" si="75"/>
        <v>0</v>
      </c>
      <c r="S46" s="60">
        <f t="shared" si="76"/>
        <v>0</v>
      </c>
      <c r="T46" s="61">
        <f t="shared" si="77"/>
        <v>0</v>
      </c>
      <c r="U46" s="60">
        <f t="shared" si="78"/>
        <v>0</v>
      </c>
      <c r="V46" s="60">
        <f t="shared" si="88"/>
        <v>0</v>
      </c>
      <c r="W46" s="60">
        <f t="shared" si="89"/>
        <v>0</v>
      </c>
      <c r="X46" s="61">
        <f t="shared" si="79"/>
        <v>0</v>
      </c>
      <c r="Y46" s="60">
        <f>0.42*B46</f>
        <v>0</v>
      </c>
      <c r="Z46" s="60">
        <v>0</v>
      </c>
      <c r="AA46" s="60">
        <f>IF(AND(AM46&gt;=0.4,AM46&lt;=2),45.59*B46,53.25*B46)</f>
        <v>0</v>
      </c>
      <c r="AB46" s="8">
        <f t="shared" si="80"/>
        <v>0</v>
      </c>
      <c r="AC46" s="8">
        <f t="shared" si="81"/>
        <v>0</v>
      </c>
      <c r="AD46" s="8">
        <f t="shared" si="82"/>
        <v>0</v>
      </c>
      <c r="AE46" s="8">
        <f t="shared" si="83"/>
        <v>0</v>
      </c>
      <c r="AF46" s="9">
        <f t="shared" si="84"/>
        <v>0</v>
      </c>
      <c r="AG46" s="7"/>
      <c r="AJ46" s="26"/>
      <c r="AK46" s="55">
        <v>2.8</v>
      </c>
      <c r="AL46" s="55">
        <v>0</v>
      </c>
      <c r="AM46" s="38">
        <f>IF(AK46+0.12-AO46-0.16&gt;=0.4,AK46+0.12-AO46-0.16,0.4)</f>
        <v>0.84</v>
      </c>
      <c r="AN46" s="62">
        <v>0.16</v>
      </c>
      <c r="AO46" s="38">
        <v>1.92</v>
      </c>
      <c r="AP46" s="38">
        <f>AK46-AM46-1.2-0.12</f>
        <v>0.64</v>
      </c>
      <c r="AQ46" s="38">
        <v>2.64</v>
      </c>
      <c r="AR46" s="38">
        <f>(3.68*3.08-2.68*2.08)</f>
        <v>5.76</v>
      </c>
      <c r="AS46" s="63"/>
    </row>
    <row r="47" spans="1:46" ht="21.95" hidden="1" customHeight="1" x14ac:dyDescent="0.15">
      <c r="A47" s="58" t="s">
        <v>241</v>
      </c>
      <c r="B47" s="245"/>
      <c r="C47" s="7" t="s">
        <v>372</v>
      </c>
      <c r="D47" s="60">
        <f>0.47*B47</f>
        <v>0</v>
      </c>
      <c r="E47" s="60">
        <f>0.85*B47</f>
        <v>0</v>
      </c>
      <c r="F47" s="60">
        <f>IF(0.4&lt;=AM47&lt;=2,76.08*B47,76.08*B47)</f>
        <v>0</v>
      </c>
      <c r="G47" s="60">
        <v>0</v>
      </c>
      <c r="H47" s="60">
        <v>0</v>
      </c>
      <c r="I47" s="60">
        <f>B47*10</f>
        <v>0</v>
      </c>
      <c r="J47" s="60">
        <f>IF(AK47&lt;=4,B47*(115.8-10),B47*(154.2-10))</f>
        <v>0</v>
      </c>
      <c r="K47" s="60">
        <f>B47*1.75</f>
        <v>0</v>
      </c>
      <c r="L47" s="60">
        <f>IF(0.4&lt;=AM47&lt;=2,275.64*B47,279.19*B47)</f>
        <v>0</v>
      </c>
      <c r="M47" s="60">
        <f>0.62*B47</f>
        <v>0</v>
      </c>
      <c r="N47" s="11">
        <f t="shared" si="85"/>
        <v>0</v>
      </c>
      <c r="O47" s="60">
        <f t="shared" si="74"/>
        <v>0</v>
      </c>
      <c r="P47" s="60">
        <f t="shared" si="86"/>
        <v>1.94</v>
      </c>
      <c r="Q47" s="60">
        <f t="shared" si="87"/>
        <v>1.0349999999999999</v>
      </c>
      <c r="R47" s="60">
        <f t="shared" si="75"/>
        <v>0</v>
      </c>
      <c r="S47" s="60">
        <f t="shared" si="76"/>
        <v>0</v>
      </c>
      <c r="T47" s="61">
        <f t="shared" si="77"/>
        <v>0</v>
      </c>
      <c r="U47" s="60">
        <f t="shared" si="78"/>
        <v>0</v>
      </c>
      <c r="V47" s="60">
        <f t="shared" si="88"/>
        <v>0</v>
      </c>
      <c r="W47" s="60">
        <f t="shared" si="89"/>
        <v>0</v>
      </c>
      <c r="X47" s="61">
        <f t="shared" si="79"/>
        <v>0</v>
      </c>
      <c r="Y47" s="60">
        <f>0.47*B47</f>
        <v>0</v>
      </c>
      <c r="Z47" s="60">
        <v>0</v>
      </c>
      <c r="AA47" s="60">
        <f>IF(AND(AM47&gt;=0.8,AM47&lt;=2),48.86*B47,57.02*B47)</f>
        <v>0</v>
      </c>
      <c r="AB47" s="8">
        <f t="shared" si="80"/>
        <v>0</v>
      </c>
      <c r="AC47" s="8">
        <f t="shared" si="81"/>
        <v>0</v>
      </c>
      <c r="AD47" s="8">
        <f t="shared" si="82"/>
        <v>0</v>
      </c>
      <c r="AE47" s="8">
        <f t="shared" si="83"/>
        <v>0</v>
      </c>
      <c r="AF47" s="9">
        <f t="shared" si="84"/>
        <v>0</v>
      </c>
      <c r="AG47" s="7"/>
      <c r="AJ47" s="26"/>
      <c r="AK47" s="55">
        <v>3</v>
      </c>
      <c r="AL47" s="55">
        <v>0</v>
      </c>
      <c r="AM47" s="38">
        <f>IF(AK47+0.135-AO47-0.16&gt;=0.4,AK47+0.135-AO47-0.16,0.4)</f>
        <v>1.0349999999999999</v>
      </c>
      <c r="AN47" s="62">
        <v>0.16</v>
      </c>
      <c r="AO47" s="38">
        <v>1.94</v>
      </c>
      <c r="AP47" s="38">
        <f>AK47-AM47-1.35-0.135</f>
        <v>0.48</v>
      </c>
      <c r="AQ47" s="38">
        <v>2.64</v>
      </c>
      <c r="AR47" s="38">
        <f>(3.88*3.08-2.88*2.08)</f>
        <v>5.96</v>
      </c>
      <c r="AS47" s="63"/>
    </row>
    <row r="48" spans="1:46" ht="21.95" hidden="1" customHeight="1" x14ac:dyDescent="0.15">
      <c r="A48" s="58" t="s">
        <v>241</v>
      </c>
      <c r="B48" s="245"/>
      <c r="C48" s="7" t="s">
        <v>373</v>
      </c>
      <c r="D48" s="60">
        <f>0.52*B48</f>
        <v>0</v>
      </c>
      <c r="E48" s="60">
        <f>0.95*B48</f>
        <v>0</v>
      </c>
      <c r="F48" s="60">
        <f>IF(0.4&lt;=AM48&lt;=2,86.63*B48,86.63*B48)</f>
        <v>0</v>
      </c>
      <c r="G48" s="60">
        <v>0</v>
      </c>
      <c r="H48" s="60">
        <v>0</v>
      </c>
      <c r="I48" s="60">
        <f>B48*11.7</f>
        <v>0</v>
      </c>
      <c r="J48" s="60">
        <f>IF(AK48&lt;=4,B48*(123.2-11.7),B48*(163.7-11.7))</f>
        <v>0</v>
      </c>
      <c r="K48" s="60">
        <f>B48*2.05</f>
        <v>0</v>
      </c>
      <c r="L48" s="60">
        <f>IF(0.4&lt;=AM48&lt;=2,332.89*B48,336.8*B48)</f>
        <v>0</v>
      </c>
      <c r="M48" s="60">
        <f>0.835*B48</f>
        <v>0</v>
      </c>
      <c r="N48" s="11">
        <f t="shared" si="85"/>
        <v>0</v>
      </c>
      <c r="O48" s="60">
        <f t="shared" si="74"/>
        <v>0</v>
      </c>
      <c r="P48" s="60">
        <f t="shared" si="86"/>
        <v>2.17</v>
      </c>
      <c r="Q48" s="60">
        <f t="shared" si="87"/>
        <v>1.0200000000000002</v>
      </c>
      <c r="R48" s="60">
        <f t="shared" si="75"/>
        <v>0</v>
      </c>
      <c r="S48" s="60">
        <f t="shared" si="76"/>
        <v>0</v>
      </c>
      <c r="T48" s="61">
        <f t="shared" si="77"/>
        <v>0</v>
      </c>
      <c r="U48" s="60">
        <f t="shared" si="78"/>
        <v>0</v>
      </c>
      <c r="V48" s="60">
        <f t="shared" si="88"/>
        <v>0</v>
      </c>
      <c r="W48" s="60">
        <f t="shared" si="89"/>
        <v>0</v>
      </c>
      <c r="X48" s="61">
        <f t="shared" si="79"/>
        <v>0</v>
      </c>
      <c r="Y48" s="60">
        <f>0.54*B48</f>
        <v>0</v>
      </c>
      <c r="Z48" s="60">
        <v>0</v>
      </c>
      <c r="AA48" s="60">
        <f>IF(AND(AM48&gt;=0.8,AM48&lt;=2),54.59*B48,63.78*B48)</f>
        <v>0</v>
      </c>
      <c r="AB48" s="8">
        <f t="shared" si="80"/>
        <v>0</v>
      </c>
      <c r="AC48" s="8">
        <f t="shared" si="81"/>
        <v>0</v>
      </c>
      <c r="AD48" s="8">
        <f t="shared" si="82"/>
        <v>0</v>
      </c>
      <c r="AE48" s="8">
        <f t="shared" si="83"/>
        <v>0</v>
      </c>
      <c r="AF48" s="9">
        <f t="shared" si="84"/>
        <v>0</v>
      </c>
      <c r="AG48" s="7"/>
      <c r="AJ48" s="26"/>
      <c r="AK48" s="55">
        <v>3.2</v>
      </c>
      <c r="AL48" s="55">
        <v>0</v>
      </c>
      <c r="AM48" s="38">
        <f>IF(AK48+0.15-AO48-0.16&gt;=0.4,AK48+0.15-AO48-0.16,0.4)</f>
        <v>1.0200000000000002</v>
      </c>
      <c r="AN48" s="62">
        <v>0.16</v>
      </c>
      <c r="AO48" s="38">
        <v>2.17</v>
      </c>
      <c r="AP48" s="38">
        <f>AK48-AM48-1.5-0.15</f>
        <v>0.52999999999999969</v>
      </c>
      <c r="AQ48" s="38">
        <v>2.64</v>
      </c>
      <c r="AR48" s="38">
        <f>(4.18*3.08-3.18*2.08)</f>
        <v>6.2599999999999989</v>
      </c>
      <c r="AS48" s="63"/>
    </row>
    <row r="49" spans="1:46" ht="21.95" hidden="1" customHeight="1" x14ac:dyDescent="0.15">
      <c r="A49" s="58" t="s">
        <v>241</v>
      </c>
      <c r="B49" s="245"/>
      <c r="C49" s="7" t="s">
        <v>116</v>
      </c>
      <c r="D49" s="60">
        <f>0.52*B49</f>
        <v>0</v>
      </c>
      <c r="E49" s="60">
        <f>0.95*B49</f>
        <v>0</v>
      </c>
      <c r="F49" s="60">
        <f>IF(0.4&lt;=AM49&lt;=2,86.63*B49,86.63*B49)</f>
        <v>0</v>
      </c>
      <c r="G49" s="60">
        <v>0</v>
      </c>
      <c r="H49" s="60">
        <v>0</v>
      </c>
      <c r="I49" s="60">
        <f>B49*11.7</f>
        <v>0</v>
      </c>
      <c r="J49" s="60">
        <f>IF(AK49&lt;=4,B49*(130.9-11.7),B49*(174.1-11.7))</f>
        <v>0</v>
      </c>
      <c r="K49" s="60">
        <f>B49*2.05</f>
        <v>0</v>
      </c>
      <c r="L49" s="60">
        <f>IF(0.4&lt;=AM49&lt;=2,332.89*B49,336.8*B49)</f>
        <v>0</v>
      </c>
      <c r="M49" s="60">
        <f>0.83*B49</f>
        <v>0</v>
      </c>
      <c r="N49" s="11">
        <f t="shared" si="85"/>
        <v>0</v>
      </c>
      <c r="O49" s="60">
        <f t="shared" si="74"/>
        <v>0</v>
      </c>
      <c r="P49" s="60">
        <f t="shared" si="86"/>
        <v>2.17</v>
      </c>
      <c r="Q49" s="60">
        <f t="shared" si="87"/>
        <v>1.8350000000000002</v>
      </c>
      <c r="R49" s="60">
        <f t="shared" si="75"/>
        <v>0</v>
      </c>
      <c r="S49" s="60">
        <f t="shared" si="76"/>
        <v>0</v>
      </c>
      <c r="T49" s="61">
        <f t="shared" si="77"/>
        <v>0</v>
      </c>
      <c r="U49" s="60">
        <f t="shared" si="78"/>
        <v>0</v>
      </c>
      <c r="V49" s="60">
        <f t="shared" ref="V49:V53" si="90">5.14*B49</f>
        <v>0</v>
      </c>
      <c r="W49" s="60">
        <f t="shared" ref="W49:W53" si="91">(31.2-5.14)*B49</f>
        <v>0</v>
      </c>
      <c r="X49" s="61">
        <f t="shared" si="79"/>
        <v>0</v>
      </c>
      <c r="Y49" s="60">
        <f>0.54*B49</f>
        <v>0</v>
      </c>
      <c r="Z49" s="60">
        <v>0</v>
      </c>
      <c r="AA49" s="60">
        <f>IF(AND(AM49&gt;=0.8,AM49&lt;=2),54.59*B49,63.78*B49)</f>
        <v>0</v>
      </c>
      <c r="AB49" s="8">
        <f t="shared" si="80"/>
        <v>0</v>
      </c>
      <c r="AC49" s="8">
        <f t="shared" si="81"/>
        <v>0</v>
      </c>
      <c r="AD49" s="8">
        <f t="shared" si="82"/>
        <v>0</v>
      </c>
      <c r="AE49" s="8">
        <f t="shared" si="83"/>
        <v>0</v>
      </c>
      <c r="AF49" s="9">
        <f t="shared" si="84"/>
        <v>0</v>
      </c>
      <c r="AG49" s="7"/>
      <c r="AJ49" s="26"/>
      <c r="AK49" s="55">
        <v>4</v>
      </c>
      <c r="AL49" s="55">
        <v>0</v>
      </c>
      <c r="AM49" s="38">
        <f>IF(AK49+0.165-AO49-0.16&gt;=0.4,AK49+0.165-AO49-0.16,0.4)</f>
        <v>1.8350000000000002</v>
      </c>
      <c r="AN49" s="62">
        <v>0.16</v>
      </c>
      <c r="AO49" s="38">
        <v>2.17</v>
      </c>
      <c r="AP49" s="38">
        <f>0.36+0.14</f>
        <v>0.5</v>
      </c>
      <c r="AQ49" s="38">
        <v>2.64</v>
      </c>
      <c r="AR49" s="38">
        <f>(4.18*3.08-3.18*2.08)</f>
        <v>6.2599999999999989</v>
      </c>
      <c r="AS49" s="63"/>
    </row>
    <row r="50" spans="1:46" ht="21.95" hidden="1" customHeight="1" x14ac:dyDescent="0.15">
      <c r="A50" s="58" t="s">
        <v>241</v>
      </c>
      <c r="B50" s="245"/>
      <c r="C50" s="7" t="s">
        <v>374</v>
      </c>
      <c r="D50" s="60">
        <f>0.56*B50</f>
        <v>0</v>
      </c>
      <c r="E50" s="60">
        <f>1.02*B50</f>
        <v>0</v>
      </c>
      <c r="F50" s="60">
        <f>IF(0.4&lt;=AM50&lt;=2,92.71*B50,92.71*B50)</f>
        <v>0</v>
      </c>
      <c r="G50" s="60">
        <v>0</v>
      </c>
      <c r="H50" s="60">
        <v>0</v>
      </c>
      <c r="I50" s="60">
        <f>B50*13.3</f>
        <v>0</v>
      </c>
      <c r="J50" s="60">
        <f>IF(AK50&lt;=4,B50*(140.2-13.3),B50*(186.3-13.3))</f>
        <v>0</v>
      </c>
      <c r="K50" s="60">
        <f>B50*2.29</f>
        <v>0</v>
      </c>
      <c r="L50" s="60">
        <f>IF(0.4&lt;=AM50&lt;=2,397.86*B50,401.94*B50)</f>
        <v>0</v>
      </c>
      <c r="M50" s="60">
        <f>0.98*B50</f>
        <v>0</v>
      </c>
      <c r="N50" s="11">
        <f t="shared" si="85"/>
        <v>0</v>
      </c>
      <c r="O50" s="60">
        <f t="shared" si="74"/>
        <v>0</v>
      </c>
      <c r="P50" s="60">
        <f t="shared" si="86"/>
        <v>2.41</v>
      </c>
      <c r="Q50" s="60">
        <f t="shared" si="87"/>
        <v>1.01</v>
      </c>
      <c r="R50" s="60">
        <f t="shared" si="75"/>
        <v>0</v>
      </c>
      <c r="S50" s="60">
        <f t="shared" si="76"/>
        <v>0</v>
      </c>
      <c r="T50" s="61">
        <f t="shared" si="77"/>
        <v>0</v>
      </c>
      <c r="U50" s="60">
        <f t="shared" si="78"/>
        <v>0</v>
      </c>
      <c r="V50" s="60">
        <f t="shared" si="90"/>
        <v>0</v>
      </c>
      <c r="W50" s="60">
        <f t="shared" si="91"/>
        <v>0</v>
      </c>
      <c r="X50" s="61">
        <f t="shared" si="79"/>
        <v>0</v>
      </c>
      <c r="Y50" s="60">
        <f>IF(AND(AM50&gt;=0.8,AM50&lt;=2),0.52*B50,0.55*B50)</f>
        <v>0</v>
      </c>
      <c r="Z50" s="60">
        <v>0</v>
      </c>
      <c r="AA50" s="60">
        <f>IF(AND(AM50&gt;=0.4,AM50&lt;=2),56.12*B50,66.2*B50)</f>
        <v>0</v>
      </c>
      <c r="AB50" s="8">
        <f t="shared" si="80"/>
        <v>0</v>
      </c>
      <c r="AC50" s="8">
        <f t="shared" si="81"/>
        <v>0</v>
      </c>
      <c r="AD50" s="8">
        <f t="shared" si="82"/>
        <v>0</v>
      </c>
      <c r="AE50" s="8">
        <f t="shared" si="83"/>
        <v>0</v>
      </c>
      <c r="AF50" s="9">
        <f t="shared" si="84"/>
        <v>0</v>
      </c>
      <c r="AG50" s="7"/>
      <c r="AJ50" s="26"/>
      <c r="AK50" s="55">
        <v>3.4</v>
      </c>
      <c r="AL50" s="55">
        <v>0</v>
      </c>
      <c r="AM50" s="38">
        <f>IF(AK50+0.18-AO50-0.16&gt;=0.4,AK50+0.18-AO50-0.16,0.4)</f>
        <v>1.01</v>
      </c>
      <c r="AN50" s="62">
        <v>0.16</v>
      </c>
      <c r="AO50" s="38">
        <v>2.41</v>
      </c>
      <c r="AP50" s="38">
        <f t="shared" ref="AP50:AP54" si="92">0.36+0.14</f>
        <v>0.5</v>
      </c>
      <c r="AQ50" s="38">
        <v>2.64</v>
      </c>
      <c r="AR50" s="38">
        <f>(4.38*3.08-3.38*2.08)</f>
        <v>6.4599999999999991</v>
      </c>
      <c r="AS50" s="63"/>
    </row>
    <row r="51" spans="1:46" ht="21" hidden="1" customHeight="1" x14ac:dyDescent="0.15">
      <c r="A51" s="58" t="s">
        <v>241</v>
      </c>
      <c r="B51" s="245"/>
      <c r="C51" s="7" t="s">
        <v>375</v>
      </c>
      <c r="D51" s="60">
        <f>0.59*B51</f>
        <v>0</v>
      </c>
      <c r="E51" s="60">
        <f>1.09*B51</f>
        <v>0</v>
      </c>
      <c r="F51" s="60">
        <f>IF(0.4&lt;=AM51&lt;=2,98.78*B51,107.59*B51)</f>
        <v>0</v>
      </c>
      <c r="G51" s="60">
        <v>0</v>
      </c>
      <c r="H51" s="60">
        <v>0</v>
      </c>
      <c r="I51" s="60">
        <f>B51*15</f>
        <v>0</v>
      </c>
      <c r="J51" s="60">
        <f>IF(AK51&lt;=4,B51*(213.9-15),B51*(274.7-15))</f>
        <v>0</v>
      </c>
      <c r="K51" s="60">
        <f>B51*2.7</f>
        <v>0</v>
      </c>
      <c r="L51" s="60">
        <f>IF(0.4&lt;=AM51&lt;=2,460.48*B51,464.74*B51)</f>
        <v>0</v>
      </c>
      <c r="M51" s="60">
        <f>1.13*B51</f>
        <v>0</v>
      </c>
      <c r="N51" s="11">
        <f t="shared" si="85"/>
        <v>0</v>
      </c>
      <c r="O51" s="60">
        <f t="shared" si="74"/>
        <v>0</v>
      </c>
      <c r="P51" s="60">
        <f t="shared" si="86"/>
        <v>2.75</v>
      </c>
      <c r="Q51" s="60">
        <f t="shared" si="87"/>
        <v>0.89000000000000024</v>
      </c>
      <c r="R51" s="60">
        <f t="shared" si="75"/>
        <v>0</v>
      </c>
      <c r="S51" s="60">
        <f t="shared" si="76"/>
        <v>0</v>
      </c>
      <c r="T51" s="61">
        <f t="shared" si="77"/>
        <v>0</v>
      </c>
      <c r="U51" s="60">
        <f t="shared" si="78"/>
        <v>0</v>
      </c>
      <c r="V51" s="60">
        <f t="shared" si="90"/>
        <v>0</v>
      </c>
      <c r="W51" s="60">
        <f t="shared" si="91"/>
        <v>0</v>
      </c>
      <c r="X51" s="61">
        <f t="shared" si="79"/>
        <v>0</v>
      </c>
      <c r="Y51" s="60">
        <f>IF(AND(AM51&gt;=0.8,AM51&lt;=2),0.55*B51,0.59*B51)</f>
        <v>0</v>
      </c>
      <c r="Z51" s="60">
        <v>0</v>
      </c>
      <c r="AA51" s="60">
        <f>IF(AND(AM51&gt;=0.4,AM51&lt;=2),58.57*B51,70.45*B51)</f>
        <v>0</v>
      </c>
      <c r="AB51" s="8">
        <f t="shared" si="80"/>
        <v>0</v>
      </c>
      <c r="AC51" s="8">
        <f t="shared" si="81"/>
        <v>0</v>
      </c>
      <c r="AD51" s="8">
        <f t="shared" si="82"/>
        <v>0</v>
      </c>
      <c r="AE51" s="8">
        <f t="shared" si="83"/>
        <v>0</v>
      </c>
      <c r="AF51" s="9">
        <f t="shared" si="84"/>
        <v>0</v>
      </c>
      <c r="AG51" s="7"/>
      <c r="AJ51" s="26"/>
      <c r="AK51" s="55">
        <v>3.6</v>
      </c>
      <c r="AL51" s="55">
        <v>0</v>
      </c>
      <c r="AM51" s="38">
        <f>IF(AK51+0.2-AO51-0.16&gt;=0.4,AK51+0.2-AO51-0.16,0.4)</f>
        <v>0.89000000000000024</v>
      </c>
      <c r="AN51" s="62">
        <v>0.16</v>
      </c>
      <c r="AO51" s="38">
        <v>2.75</v>
      </c>
      <c r="AP51" s="38">
        <f t="shared" si="92"/>
        <v>0.5</v>
      </c>
      <c r="AQ51" s="38">
        <v>2.64</v>
      </c>
      <c r="AR51" s="38">
        <f>(4.58*3.08-3.58*2.08)</f>
        <v>6.66</v>
      </c>
      <c r="AS51" s="63"/>
    </row>
    <row r="52" spans="1:46" ht="21" hidden="1" customHeight="1" x14ac:dyDescent="0.15">
      <c r="A52" s="58" t="s">
        <v>241</v>
      </c>
      <c r="B52" s="245"/>
      <c r="C52" s="7" t="s">
        <v>119</v>
      </c>
      <c r="D52" s="60">
        <f>0.65*B52</f>
        <v>0</v>
      </c>
      <c r="E52" s="60">
        <f>1.49*B52</f>
        <v>0</v>
      </c>
      <c r="F52" s="60">
        <f>IF(0.4&lt;=AM52&lt;=2,106.45*B52,115.78*B52)</f>
        <v>0</v>
      </c>
      <c r="G52" s="60">
        <v>0</v>
      </c>
      <c r="H52" s="60">
        <v>0</v>
      </c>
      <c r="I52" s="60">
        <f>B52*15</f>
        <v>0</v>
      </c>
      <c r="J52" s="60">
        <f>IF(AK52&lt;=4,B52*(213.9-15),B52*(274.7-15))</f>
        <v>0</v>
      </c>
      <c r="K52" s="60">
        <f>B52*3.07</f>
        <v>0</v>
      </c>
      <c r="L52" s="60">
        <f>IF(0.4&lt;=AM52&lt;=2,527.83*B52,527.83*B52)</f>
        <v>0</v>
      </c>
      <c r="M52" s="60">
        <f>1.42*B52</f>
        <v>0</v>
      </c>
      <c r="N52" s="11">
        <f t="shared" si="85"/>
        <v>0</v>
      </c>
      <c r="O52" s="60">
        <f t="shared" si="74"/>
        <v>0</v>
      </c>
      <c r="P52" s="60">
        <f t="shared" si="86"/>
        <v>2.99</v>
      </c>
      <c r="Q52" s="60">
        <f t="shared" si="87"/>
        <v>1.0699999999999996</v>
      </c>
      <c r="R52" s="60">
        <f t="shared" si="75"/>
        <v>0</v>
      </c>
      <c r="S52" s="60">
        <f t="shared" si="76"/>
        <v>0</v>
      </c>
      <c r="T52" s="61">
        <f t="shared" si="77"/>
        <v>0</v>
      </c>
      <c r="U52" s="60">
        <f t="shared" si="78"/>
        <v>0</v>
      </c>
      <c r="V52" s="60">
        <f t="shared" si="90"/>
        <v>0</v>
      </c>
      <c r="W52" s="60">
        <f t="shared" si="91"/>
        <v>0</v>
      </c>
      <c r="X52" s="61">
        <f t="shared" si="79"/>
        <v>0</v>
      </c>
      <c r="Y52" s="60">
        <f>IF(AND(AM52&gt;=0.8,AM52&lt;=2),0.61*B52,0.64*B52)</f>
        <v>0</v>
      </c>
      <c r="Z52" s="60">
        <v>0</v>
      </c>
      <c r="AA52" s="60">
        <f>IF(AND(AM52&gt;=0.4,AM52&lt;=2),64.49*B52,77.26*B52)</f>
        <v>0</v>
      </c>
      <c r="AB52" s="8">
        <f t="shared" si="80"/>
        <v>0</v>
      </c>
      <c r="AC52" s="8">
        <f t="shared" si="81"/>
        <v>0</v>
      </c>
      <c r="AD52" s="8">
        <f t="shared" si="82"/>
        <v>0</v>
      </c>
      <c r="AE52" s="8">
        <f t="shared" si="83"/>
        <v>0</v>
      </c>
      <c r="AF52" s="9">
        <f t="shared" si="84"/>
        <v>0</v>
      </c>
      <c r="AG52" s="7"/>
      <c r="AJ52" s="26"/>
      <c r="AK52" s="55">
        <v>4</v>
      </c>
      <c r="AL52" s="55">
        <v>0</v>
      </c>
      <c r="AM52" s="38">
        <f>IF(AK52+0.22-AO52-0.16&gt;=0.4,AK52+0.22-AO52-0.16,0.4)</f>
        <v>1.0699999999999996</v>
      </c>
      <c r="AN52" s="62">
        <v>0.16</v>
      </c>
      <c r="AO52" s="38">
        <v>2.99</v>
      </c>
      <c r="AP52" s="38">
        <f t="shared" si="92"/>
        <v>0.5</v>
      </c>
      <c r="AQ52" s="38">
        <v>2.64</v>
      </c>
      <c r="AR52" s="38">
        <f>(4.88*3.08-3.88*2.08)</f>
        <v>6.9600000000000009</v>
      </c>
      <c r="AS52" s="63"/>
    </row>
    <row r="53" spans="1:46" ht="21" hidden="1" customHeight="1" x14ac:dyDescent="0.15">
      <c r="A53" s="58" t="s">
        <v>241</v>
      </c>
      <c r="B53" s="245"/>
      <c r="C53" s="7" t="s">
        <v>120</v>
      </c>
      <c r="D53" s="60">
        <f>0.68*B53</f>
        <v>0</v>
      </c>
      <c r="E53" s="60">
        <f>1.57*B53</f>
        <v>0</v>
      </c>
      <c r="F53" s="60">
        <f>IF(0.4&lt;=AM53&lt;=2,112.53*B53,122.38*B53)</f>
        <v>0</v>
      </c>
      <c r="G53" s="60">
        <v>0</v>
      </c>
      <c r="H53" s="60">
        <v>0</v>
      </c>
      <c r="I53" s="60">
        <f>B53*15</f>
        <v>0</v>
      </c>
      <c r="J53" s="60">
        <f>IF(AK53&lt;=4,B53*(213.9-15),B53*(274.7-15))</f>
        <v>0</v>
      </c>
      <c r="K53" s="60">
        <f>B53*3.34</f>
        <v>0</v>
      </c>
      <c r="L53" s="60">
        <f>IF(0.4&lt;=AM53&lt;=2,606.26*B53,606.26*B53)</f>
        <v>0</v>
      </c>
      <c r="M53" s="60">
        <f>1.61*B53</f>
        <v>0</v>
      </c>
      <c r="N53" s="11">
        <f t="shared" si="85"/>
        <v>0</v>
      </c>
      <c r="O53" s="60">
        <f t="shared" si="74"/>
        <v>0</v>
      </c>
      <c r="P53" s="60">
        <f t="shared" si="86"/>
        <v>3.23</v>
      </c>
      <c r="Q53" s="60">
        <f t="shared" si="87"/>
        <v>0.8500000000000002</v>
      </c>
      <c r="R53" s="60">
        <f t="shared" si="75"/>
        <v>0</v>
      </c>
      <c r="S53" s="60">
        <f t="shared" si="76"/>
        <v>0</v>
      </c>
      <c r="T53" s="61">
        <f t="shared" si="77"/>
        <v>0</v>
      </c>
      <c r="U53" s="60">
        <f t="shared" si="78"/>
        <v>0</v>
      </c>
      <c r="V53" s="60">
        <f t="shared" si="90"/>
        <v>0</v>
      </c>
      <c r="W53" s="60">
        <f t="shared" si="91"/>
        <v>0</v>
      </c>
      <c r="X53" s="61">
        <f t="shared" si="79"/>
        <v>0</v>
      </c>
      <c r="Y53" s="60">
        <f>IF(AND(AM53&gt;=0.8,AM53&lt;=2),0.64*B53,0.68*B53)</f>
        <v>0</v>
      </c>
      <c r="Z53" s="60">
        <v>0</v>
      </c>
      <c r="AA53" s="60">
        <f>IF(AND(AM53&gt;=0.4,AM53&lt;=2),68.53*B53,82.19*B53)</f>
        <v>0</v>
      </c>
      <c r="AB53" s="8">
        <f t="shared" si="80"/>
        <v>0</v>
      </c>
      <c r="AC53" s="8">
        <f t="shared" si="81"/>
        <v>0</v>
      </c>
      <c r="AD53" s="8">
        <f t="shared" si="82"/>
        <v>0</v>
      </c>
      <c r="AE53" s="8">
        <f t="shared" si="83"/>
        <v>0</v>
      </c>
      <c r="AF53" s="9">
        <f t="shared" si="84"/>
        <v>0</v>
      </c>
      <c r="AG53" s="7"/>
      <c r="AJ53" s="26"/>
      <c r="AK53" s="55">
        <v>4</v>
      </c>
      <c r="AL53" s="55">
        <v>0</v>
      </c>
      <c r="AM53" s="38">
        <f>IF(AK53+0.24-AO53-0.16&gt;=0.4,AK53+0.24-AO53-0.16,0.4)</f>
        <v>0.8500000000000002</v>
      </c>
      <c r="AN53" s="62">
        <v>0.16</v>
      </c>
      <c r="AO53" s="38">
        <v>3.23</v>
      </c>
      <c r="AP53" s="38">
        <f t="shared" si="92"/>
        <v>0.5</v>
      </c>
      <c r="AQ53" s="38">
        <v>2.64</v>
      </c>
      <c r="AR53" s="38">
        <f>(5.08*3.08-4.08*2.08)</f>
        <v>7.16</v>
      </c>
      <c r="AS53" s="63"/>
    </row>
    <row r="54" spans="1:46" ht="21" hidden="1" customHeight="1" x14ac:dyDescent="0.15">
      <c r="A54" s="58" t="s">
        <v>241</v>
      </c>
      <c r="B54" s="245"/>
      <c r="C54" s="7" t="s">
        <v>314</v>
      </c>
      <c r="D54" s="60">
        <f>0.71*B54</f>
        <v>0</v>
      </c>
      <c r="E54" s="60">
        <f>1.57*B54</f>
        <v>0</v>
      </c>
      <c r="F54" s="60">
        <f>IF(0.4&lt;=AM54&lt;=2,112.53*B54,122.38*B54)</f>
        <v>0</v>
      </c>
      <c r="G54" s="60">
        <v>0</v>
      </c>
      <c r="H54" s="60">
        <v>0</v>
      </c>
      <c r="I54" s="60">
        <f>B54*15</f>
        <v>0</v>
      </c>
      <c r="J54" s="60">
        <f>IF(AK54&lt;=4,B54*(213.9-15),B54*(274.7-15))</f>
        <v>0</v>
      </c>
      <c r="K54" s="60">
        <f>B54*3.34</f>
        <v>0</v>
      </c>
      <c r="L54" s="60">
        <f>IF(0.4&lt;=AM54&lt;=2,606.26*B54,606.26*B54)</f>
        <v>0</v>
      </c>
      <c r="M54" s="60">
        <f>1.61*B54</f>
        <v>0</v>
      </c>
      <c r="N54" s="11">
        <f t="shared" ref="N54" si="93">0.4*B54*AM54</f>
        <v>0</v>
      </c>
      <c r="O54" s="60">
        <f t="shared" ref="O54" si="94">0.71*B54*AM54</f>
        <v>0</v>
      </c>
      <c r="P54" s="60">
        <f t="shared" ref="P54" si="95">AO54</f>
        <v>3.23</v>
      </c>
      <c r="Q54" s="60">
        <f t="shared" ref="Q54" si="96">AM54</f>
        <v>0.8500000000000002</v>
      </c>
      <c r="R54" s="60">
        <f t="shared" ref="R54" si="97">0.253*0.1*B54</f>
        <v>0</v>
      </c>
      <c r="S54" s="60">
        <f t="shared" ref="S54" si="98">2.53*0.395*B54</f>
        <v>0</v>
      </c>
      <c r="T54" s="61">
        <f t="shared" ref="T54" si="99">B54</f>
        <v>0</v>
      </c>
      <c r="U54" s="60">
        <f t="shared" ref="U54" si="100">0.167*B54</f>
        <v>0</v>
      </c>
      <c r="V54" s="60">
        <f t="shared" ref="V54" si="101">5.14*B54</f>
        <v>0</v>
      </c>
      <c r="W54" s="60">
        <f t="shared" ref="W54" si="102">(31.2-5.14)*B54</f>
        <v>0</v>
      </c>
      <c r="X54" s="61">
        <f t="shared" ref="X54" si="103">B54</f>
        <v>0</v>
      </c>
      <c r="Y54" s="60">
        <f>IF(AND(AM54&gt;=0.8,AM54&lt;=2),0.64*B54,0.68*B54)</f>
        <v>0</v>
      </c>
      <c r="Z54" s="60">
        <v>0</v>
      </c>
      <c r="AA54" s="60">
        <f>IF(AND(AM54&gt;=0.4,AM54&lt;=2),68.53*B54,82.19*B54)</f>
        <v>0</v>
      </c>
      <c r="AB54" s="8">
        <f t="shared" ref="AB54" si="104">AK54/0.36*B54</f>
        <v>0</v>
      </c>
      <c r="AC54" s="8">
        <f t="shared" ref="AC54" si="105">B54*1</f>
        <v>0</v>
      </c>
      <c r="AD54" s="8">
        <f t="shared" ref="AD54" si="106">AC54</f>
        <v>0</v>
      </c>
      <c r="AE54" s="8">
        <f t="shared" ref="AE54" si="107">8*B54</f>
        <v>0</v>
      </c>
      <c r="AF54" s="9">
        <f t="shared" ref="AF54" si="108">IF(AM54&gt;=AL54,((AM54-AL54)*AQ54+AP54*AR54)*B54,((AP54+AM54-AL54)*AR54)*B54)</f>
        <v>0</v>
      </c>
      <c r="AG54" s="7"/>
      <c r="AJ54" s="26"/>
      <c r="AK54" s="217">
        <v>4</v>
      </c>
      <c r="AL54" s="217">
        <v>0</v>
      </c>
      <c r="AM54" s="63">
        <f>IF(AK54+0.24-AO54-0.16&gt;=0.4,AK54+0.24-AO54-0.16,0.4)</f>
        <v>0.8500000000000002</v>
      </c>
      <c r="AN54" s="63">
        <v>0.16</v>
      </c>
      <c r="AO54" s="63">
        <v>3.23</v>
      </c>
      <c r="AP54" s="63">
        <f t="shared" si="92"/>
        <v>0.5</v>
      </c>
      <c r="AQ54" s="63">
        <v>2.64</v>
      </c>
      <c r="AR54" s="63">
        <f>(5.08*3.08-4.08*2.08)</f>
        <v>7.16</v>
      </c>
      <c r="AS54" s="63"/>
    </row>
    <row r="55" spans="1:46" ht="21" customHeight="1" x14ac:dyDescent="0.15">
      <c r="A55" s="58" t="s">
        <v>245</v>
      </c>
      <c r="B55" s="245">
        <f>SUM(B43:B53)</f>
        <v>6</v>
      </c>
      <c r="C55" s="7" t="s">
        <v>82</v>
      </c>
      <c r="D55" s="60">
        <f>SUM(D43:D53)</f>
        <v>2.04</v>
      </c>
      <c r="E55" s="60">
        <f t="shared" ref="E55:AF55" si="109">SUM(E43:E53)</f>
        <v>3.66</v>
      </c>
      <c r="F55" s="60">
        <f t="shared" si="109"/>
        <v>337.56</v>
      </c>
      <c r="G55" s="60">
        <f t="shared" si="109"/>
        <v>0</v>
      </c>
      <c r="H55" s="60">
        <f t="shared" si="109"/>
        <v>0</v>
      </c>
      <c r="I55" s="60">
        <f t="shared" si="109"/>
        <v>45.599999999999994</v>
      </c>
      <c r="J55" s="60">
        <f t="shared" si="109"/>
        <v>496.80000000000007</v>
      </c>
      <c r="K55" s="60">
        <f t="shared" si="109"/>
        <v>10.44</v>
      </c>
      <c r="L55" s="60">
        <f t="shared" si="109"/>
        <v>1369.32</v>
      </c>
      <c r="M55" s="60">
        <f t="shared" si="109"/>
        <v>1.5</v>
      </c>
      <c r="N55" s="11">
        <f t="shared" si="109"/>
        <v>1.1040000000000003</v>
      </c>
      <c r="O55" s="60">
        <f t="shared" si="109"/>
        <v>1.9596000000000002</v>
      </c>
      <c r="P55" s="60">
        <f t="shared" si="109"/>
        <v>23.360000000000003</v>
      </c>
      <c r="Q55" s="60">
        <f t="shared" si="109"/>
        <v>11.170000000000002</v>
      </c>
      <c r="R55" s="60">
        <f t="shared" si="109"/>
        <v>0.15180000000000002</v>
      </c>
      <c r="S55" s="60">
        <f t="shared" si="109"/>
        <v>5.9961000000000002</v>
      </c>
      <c r="T55" s="61">
        <f t="shared" si="109"/>
        <v>6</v>
      </c>
      <c r="U55" s="60">
        <f t="shared" si="109"/>
        <v>1.002</v>
      </c>
      <c r="V55" s="60">
        <f t="shared" si="109"/>
        <v>28.98</v>
      </c>
      <c r="W55" s="60">
        <f t="shared" si="109"/>
        <v>99.299999999999983</v>
      </c>
      <c r="X55" s="61">
        <f t="shared" si="109"/>
        <v>6</v>
      </c>
      <c r="Y55" s="60">
        <f t="shared" si="109"/>
        <v>1.7999999999999998</v>
      </c>
      <c r="Z55" s="60">
        <f t="shared" si="109"/>
        <v>0</v>
      </c>
      <c r="AA55" s="60">
        <f t="shared" si="109"/>
        <v>209.45999999999998</v>
      </c>
      <c r="AB55" s="8">
        <f t="shared" si="109"/>
        <v>40</v>
      </c>
      <c r="AC55" s="8">
        <f t="shared" si="109"/>
        <v>6</v>
      </c>
      <c r="AD55" s="8">
        <f t="shared" si="109"/>
        <v>6</v>
      </c>
      <c r="AE55" s="8">
        <f t="shared" si="109"/>
        <v>48</v>
      </c>
      <c r="AF55" s="9">
        <f t="shared" si="109"/>
        <v>40.74</v>
      </c>
      <c r="AG55" s="7"/>
      <c r="AJ55" s="26"/>
      <c r="AK55" s="55"/>
      <c r="AL55" s="55"/>
      <c r="AM55" s="38"/>
      <c r="AN55" s="62"/>
      <c r="AO55" s="38"/>
      <c r="AP55" s="38"/>
      <c r="AQ55" s="38"/>
      <c r="AR55" s="38"/>
      <c r="AS55" s="63"/>
    </row>
    <row r="56" spans="1:46" ht="18" customHeight="1" x14ac:dyDescent="0.15">
      <c r="A56" s="383" t="s">
        <v>437</v>
      </c>
      <c r="B56" s="384"/>
      <c r="C56" s="384"/>
      <c r="D56" s="384"/>
      <c r="E56" s="384"/>
      <c r="F56" s="384"/>
      <c r="G56" s="384"/>
      <c r="H56" s="384"/>
      <c r="I56" s="384"/>
      <c r="J56" s="384"/>
      <c r="K56" s="384"/>
      <c r="L56" s="384"/>
      <c r="M56" s="384"/>
      <c r="N56" s="384"/>
      <c r="O56" s="384"/>
      <c r="P56" s="384"/>
      <c r="Q56" s="384"/>
      <c r="R56" s="384"/>
      <c r="S56" s="384"/>
      <c r="T56" s="384"/>
      <c r="U56" s="384"/>
      <c r="V56" s="384"/>
      <c r="W56" s="384"/>
      <c r="X56" s="384"/>
      <c r="Y56" s="384"/>
      <c r="Z56" s="384"/>
      <c r="AA56" s="384"/>
      <c r="AB56" s="384"/>
      <c r="AC56" s="384"/>
      <c r="AD56" s="384"/>
      <c r="AE56" s="384"/>
      <c r="AF56" s="384"/>
      <c r="AG56" s="384"/>
      <c r="AK56" s="55" t="s">
        <v>73</v>
      </c>
      <c r="AL56" s="55" t="s">
        <v>74</v>
      </c>
      <c r="AM56" s="38" t="s">
        <v>75</v>
      </c>
      <c r="AN56" s="62"/>
      <c r="AO56" s="38" t="s">
        <v>76</v>
      </c>
      <c r="AP56" s="38" t="s">
        <v>77</v>
      </c>
      <c r="AQ56" s="38" t="s">
        <v>78</v>
      </c>
      <c r="AR56" s="38" t="s">
        <v>79</v>
      </c>
      <c r="AS56" s="10"/>
      <c r="AT56" s="10"/>
    </row>
    <row r="57" spans="1:46" s="291" customFormat="1" ht="21.95" customHeight="1" x14ac:dyDescent="0.15">
      <c r="A57" s="278" t="s">
        <v>150</v>
      </c>
      <c r="B57" s="245">
        <v>2</v>
      </c>
      <c r="C57" s="279" t="s">
        <v>439</v>
      </c>
      <c r="D57" s="279">
        <f>0.23*B57</f>
        <v>0.46</v>
      </c>
      <c r="E57" s="279">
        <f>0.44*B57</f>
        <v>0.88</v>
      </c>
      <c r="F57" s="280">
        <f>0.44*B57</f>
        <v>0.88</v>
      </c>
      <c r="G57" s="280">
        <f t="shared" ref="G57:G62" si="110">1*B57</f>
        <v>2</v>
      </c>
      <c r="H57" s="280">
        <f>1.5*B57</f>
        <v>3</v>
      </c>
      <c r="I57" s="280">
        <v>0</v>
      </c>
      <c r="J57" s="280">
        <f>55.54*B57</f>
        <v>111.08</v>
      </c>
      <c r="K57" s="280">
        <f>AO57*0.75*B57</f>
        <v>3.3599999999999994</v>
      </c>
      <c r="L57" s="280">
        <f>114.98*B57</f>
        <v>229.96</v>
      </c>
      <c r="M57" s="280">
        <f>1.07*B57</f>
        <v>2.14</v>
      </c>
      <c r="N57" s="280">
        <f>0.253*0.1*B57</f>
        <v>5.0600000000000006E-2</v>
      </c>
      <c r="O57" s="280">
        <f t="shared" ref="O57:O62" si="111">0.4*B57*AM57</f>
        <v>1.3200000000000003</v>
      </c>
      <c r="P57" s="281">
        <f t="shared" ref="P57" si="112">AO57</f>
        <v>2.2399999999999998</v>
      </c>
      <c r="Q57" s="281">
        <f t="shared" ref="Q57" si="113">AM57</f>
        <v>1.6500000000000004</v>
      </c>
      <c r="R57" s="281">
        <f t="shared" ref="R57:R62" si="114">0.253*0.1*B57</f>
        <v>5.0600000000000006E-2</v>
      </c>
      <c r="S57" s="281">
        <f t="shared" ref="S57:S62" si="115">2.53*0.395*B57</f>
        <v>1.9986999999999999</v>
      </c>
      <c r="T57" s="282">
        <f t="shared" ref="T57:T62" si="116">B57</f>
        <v>2</v>
      </c>
      <c r="U57" s="281">
        <f t="shared" ref="U57:U62" si="117">0.167*B57</f>
        <v>0.33400000000000002</v>
      </c>
      <c r="V57" s="281">
        <f t="shared" ref="V57:V62" si="118">5.14*B57</f>
        <v>10.28</v>
      </c>
      <c r="W57" s="281">
        <f t="shared" ref="W57:W62" si="119">(31.2-5.14)*B57</f>
        <v>52.12</v>
      </c>
      <c r="X57" s="279">
        <f t="shared" ref="X57:X62" si="120">B57</f>
        <v>2</v>
      </c>
      <c r="Y57" s="280">
        <f>0.16*B57</f>
        <v>0.32</v>
      </c>
      <c r="Z57" s="280">
        <v>0</v>
      </c>
      <c r="AA57" s="280">
        <f>20.69*B57</f>
        <v>41.38</v>
      </c>
      <c r="AB57" s="282">
        <f>AK57/0.37*B57</f>
        <v>21.621621621621621</v>
      </c>
      <c r="AC57" s="282">
        <f t="shared" ref="AC57:AC62" si="121">B57*1</f>
        <v>2</v>
      </c>
      <c r="AD57" s="282">
        <f t="shared" ref="AD57" si="122">AC57</f>
        <v>2</v>
      </c>
      <c r="AE57" s="282">
        <f t="shared" ref="AE57:AE62" si="123">8*B57</f>
        <v>16</v>
      </c>
      <c r="AF57" s="283">
        <f t="shared" ref="AF57:AF62" si="124">IF(AM57&gt;=AL57,((AM57-AL57)*AQ57+AP57*AR57)*B57,((AP57+AM57-AL57)*AR57)*B57)</f>
        <v>18.163059999999998</v>
      </c>
      <c r="AG57" s="284"/>
      <c r="AH57" s="285"/>
      <c r="AI57" s="285"/>
      <c r="AJ57" s="286"/>
      <c r="AK57" s="287">
        <v>4</v>
      </c>
      <c r="AL57" s="287">
        <v>0.24</v>
      </c>
      <c r="AM57" s="288">
        <f>IF(AK57-1.8-0.4-0.15&gt;=0.4,AK57-1.8-0.4-0.15,0.4)</f>
        <v>1.6500000000000004</v>
      </c>
      <c r="AN57" s="289"/>
      <c r="AO57" s="288">
        <f>AK57-AM57-0.15+0.04</f>
        <v>2.2399999999999998</v>
      </c>
      <c r="AP57" s="288">
        <f>AK57-AM57-0.4-0.04</f>
        <v>1.9099999999999997</v>
      </c>
      <c r="AQ57" s="288">
        <v>2.4</v>
      </c>
      <c r="AR57" s="288">
        <f>3.14*2.4*2.4/4-3.14*1.4*1.4/4</f>
        <v>2.9829999999999997</v>
      </c>
      <c r="AS57" s="290"/>
      <c r="AT57" s="290"/>
    </row>
    <row r="58" spans="1:46" s="291" customFormat="1" ht="21.95" customHeight="1" x14ac:dyDescent="0.15">
      <c r="A58" s="278" t="s">
        <v>150</v>
      </c>
      <c r="B58" s="245">
        <v>17</v>
      </c>
      <c r="C58" s="279" t="s">
        <v>438</v>
      </c>
      <c r="D58" s="279">
        <f t="shared" ref="D58:D62" si="125">0.23*B58</f>
        <v>3.91</v>
      </c>
      <c r="E58" s="279">
        <f t="shared" ref="E58:E62" si="126">0.44*B58</f>
        <v>7.48</v>
      </c>
      <c r="F58" s="280">
        <f>0.44*B58</f>
        <v>7.48</v>
      </c>
      <c r="G58" s="280">
        <f t="shared" si="110"/>
        <v>17</v>
      </c>
      <c r="H58" s="280">
        <f>1.5*B58</f>
        <v>25.5</v>
      </c>
      <c r="I58" s="280">
        <v>0</v>
      </c>
      <c r="J58" s="280">
        <f>55.54*B58</f>
        <v>944.18</v>
      </c>
      <c r="K58" s="280">
        <f>AO58*0.75*B58</f>
        <v>28.559999999999995</v>
      </c>
      <c r="L58" s="280">
        <f>79.03*B58</f>
        <v>1343.51</v>
      </c>
      <c r="M58" s="280">
        <f>B58*1</f>
        <v>17</v>
      </c>
      <c r="N58" s="280">
        <f t="shared" ref="N58:N62" si="127">0.253*0.1*B58</f>
        <v>0.43010000000000004</v>
      </c>
      <c r="O58" s="280">
        <f t="shared" si="111"/>
        <v>11.220000000000004</v>
      </c>
      <c r="P58" s="281">
        <f t="shared" ref="P58:P62" si="128">AO58</f>
        <v>2.2399999999999998</v>
      </c>
      <c r="Q58" s="281">
        <f t="shared" ref="Q58:Q62" si="129">AM58</f>
        <v>1.6500000000000004</v>
      </c>
      <c r="R58" s="281">
        <f t="shared" si="114"/>
        <v>0.43010000000000004</v>
      </c>
      <c r="S58" s="281">
        <f t="shared" si="115"/>
        <v>16.988949999999999</v>
      </c>
      <c r="T58" s="282">
        <f t="shared" si="116"/>
        <v>17</v>
      </c>
      <c r="U58" s="281">
        <f t="shared" si="117"/>
        <v>2.839</v>
      </c>
      <c r="V58" s="281">
        <f t="shared" si="118"/>
        <v>87.38</v>
      </c>
      <c r="W58" s="281">
        <f t="shared" si="119"/>
        <v>443.02</v>
      </c>
      <c r="X58" s="279">
        <f t="shared" si="120"/>
        <v>17</v>
      </c>
      <c r="Y58" s="280">
        <f>0.16*B58</f>
        <v>2.72</v>
      </c>
      <c r="Z58" s="280">
        <v>0</v>
      </c>
      <c r="AA58" s="280">
        <f>20.69*B58</f>
        <v>351.73</v>
      </c>
      <c r="AB58" s="282">
        <f>AK58/0.37*B58</f>
        <v>183.78378378378378</v>
      </c>
      <c r="AC58" s="282">
        <f t="shared" si="121"/>
        <v>17</v>
      </c>
      <c r="AD58" s="282">
        <f t="shared" ref="AD58:AD62" si="130">AC58</f>
        <v>17</v>
      </c>
      <c r="AE58" s="282">
        <f t="shared" si="123"/>
        <v>136</v>
      </c>
      <c r="AF58" s="283">
        <f t="shared" si="124"/>
        <v>154.38600999999997</v>
      </c>
      <c r="AG58" s="284"/>
      <c r="AH58" s="285"/>
      <c r="AI58" s="285"/>
      <c r="AJ58" s="286"/>
      <c r="AK58" s="287">
        <v>4</v>
      </c>
      <c r="AL58" s="287">
        <v>0.24</v>
      </c>
      <c r="AM58" s="288">
        <f>IF(AK58-1.8-0.4-0.15&gt;=0.4,AK58-1.8-0.4-0.15,0.4)</f>
        <v>1.6500000000000004</v>
      </c>
      <c r="AN58" s="289"/>
      <c r="AO58" s="288">
        <f>AK58-AM58-0.15+0.04</f>
        <v>2.2399999999999998</v>
      </c>
      <c r="AP58" s="288">
        <f>AK58-AM58-0.4-0.04</f>
        <v>1.9099999999999997</v>
      </c>
      <c r="AQ58" s="288">
        <v>2.4</v>
      </c>
      <c r="AR58" s="288">
        <f>3.14*2.4*2.4/4-3.14*1.4*1.4/4</f>
        <v>2.9829999999999997</v>
      </c>
      <c r="AS58" s="290"/>
      <c r="AT58" s="290"/>
    </row>
    <row r="59" spans="1:46" ht="21.95" hidden="1" customHeight="1" x14ac:dyDescent="0.15">
      <c r="A59" s="64" t="s">
        <v>150</v>
      </c>
      <c r="B59" s="59"/>
      <c r="C59" s="61" t="s">
        <v>85</v>
      </c>
      <c r="D59" s="61">
        <f t="shared" si="125"/>
        <v>0</v>
      </c>
      <c r="E59" s="61">
        <f t="shared" si="126"/>
        <v>0</v>
      </c>
      <c r="F59" s="11">
        <f>0.44*B59</f>
        <v>0</v>
      </c>
      <c r="G59" s="11">
        <f t="shared" si="110"/>
        <v>0</v>
      </c>
      <c r="H59" s="11">
        <f>1.5*B59</f>
        <v>0</v>
      </c>
      <c r="I59" s="11">
        <v>0</v>
      </c>
      <c r="J59" s="11">
        <f>55.54*B59</f>
        <v>0</v>
      </c>
      <c r="K59" s="11">
        <f>AO59*0.75*B59</f>
        <v>0</v>
      </c>
      <c r="L59" s="11">
        <f>79.03*B59</f>
        <v>0</v>
      </c>
      <c r="M59" s="11">
        <f>B59*1</f>
        <v>0</v>
      </c>
      <c r="N59" s="11">
        <f t="shared" si="127"/>
        <v>0</v>
      </c>
      <c r="O59" s="11">
        <f t="shared" si="111"/>
        <v>0</v>
      </c>
      <c r="P59" s="60">
        <f t="shared" si="128"/>
        <v>2.3499999999999996</v>
      </c>
      <c r="Q59" s="60">
        <f t="shared" si="129"/>
        <v>1.5500000000000003</v>
      </c>
      <c r="R59" s="60">
        <f t="shared" si="114"/>
        <v>0</v>
      </c>
      <c r="S59" s="60">
        <f t="shared" si="115"/>
        <v>0</v>
      </c>
      <c r="T59" s="8">
        <f t="shared" si="116"/>
        <v>0</v>
      </c>
      <c r="U59" s="60">
        <f t="shared" si="117"/>
        <v>0</v>
      </c>
      <c r="V59" s="60">
        <f t="shared" si="118"/>
        <v>0</v>
      </c>
      <c r="W59" s="60">
        <f t="shared" si="119"/>
        <v>0</v>
      </c>
      <c r="X59" s="61">
        <f t="shared" si="120"/>
        <v>0</v>
      </c>
      <c r="Y59" s="11">
        <f>0.16*B59</f>
        <v>0</v>
      </c>
      <c r="Z59" s="11">
        <v>0</v>
      </c>
      <c r="AA59" s="11">
        <f>20.69*B59</f>
        <v>0</v>
      </c>
      <c r="AB59" s="8">
        <f>4/0.37*B59</f>
        <v>0</v>
      </c>
      <c r="AC59" s="8">
        <f t="shared" si="121"/>
        <v>0</v>
      </c>
      <c r="AD59" s="8">
        <f t="shared" si="130"/>
        <v>0</v>
      </c>
      <c r="AE59" s="8">
        <f t="shared" si="123"/>
        <v>0</v>
      </c>
      <c r="AF59" s="9">
        <f t="shared" si="124"/>
        <v>0</v>
      </c>
      <c r="AG59" s="14"/>
      <c r="AH59" s="12"/>
      <c r="AI59" s="12"/>
      <c r="AJ59" s="27"/>
      <c r="AK59" s="55">
        <v>4</v>
      </c>
      <c r="AL59" s="55">
        <v>0.24</v>
      </c>
      <c r="AM59" s="38">
        <f>IF(AK59-1.8-0.5-0.15&gt;=0.4,AK59-1.8-0.5-0.15,0.4)</f>
        <v>1.5500000000000003</v>
      </c>
      <c r="AN59" s="62"/>
      <c r="AO59" s="38">
        <f>AK59-AM59-0.15+0.05</f>
        <v>2.3499999999999996</v>
      </c>
      <c r="AP59" s="38">
        <f>AK59-AM59-0.5-0.05</f>
        <v>1.8999999999999997</v>
      </c>
      <c r="AQ59" s="38">
        <v>2.4</v>
      </c>
      <c r="AR59" s="38">
        <f>3.14*2.4*2.4/4-3.14*1.4*1.4/4</f>
        <v>2.9829999999999997</v>
      </c>
      <c r="AS59" s="13"/>
      <c r="AT59" s="13"/>
    </row>
    <row r="60" spans="1:46" ht="21.95" hidden="1" customHeight="1" x14ac:dyDescent="0.15">
      <c r="A60" s="64" t="s">
        <v>150</v>
      </c>
      <c r="B60" s="59"/>
      <c r="C60" s="61" t="s">
        <v>86</v>
      </c>
      <c r="D60" s="61">
        <f t="shared" si="125"/>
        <v>0</v>
      </c>
      <c r="E60" s="61">
        <f t="shared" si="126"/>
        <v>0</v>
      </c>
      <c r="F60" s="11">
        <f>0.59*B60</f>
        <v>0</v>
      </c>
      <c r="G60" s="11">
        <f t="shared" si="110"/>
        <v>0</v>
      </c>
      <c r="H60" s="11">
        <f>3*B60</f>
        <v>0</v>
      </c>
      <c r="I60" s="11">
        <v>0</v>
      </c>
      <c r="J60" s="11">
        <f>70.28*B60</f>
        <v>0</v>
      </c>
      <c r="K60" s="11">
        <f>AO60*0.91*B60</f>
        <v>0</v>
      </c>
      <c r="L60" s="11">
        <f>79.03*B60</f>
        <v>0</v>
      </c>
      <c r="M60" s="11">
        <f t="shared" ref="M60:M62" si="131">B60*1</f>
        <v>0</v>
      </c>
      <c r="N60" s="11">
        <f t="shared" si="127"/>
        <v>0</v>
      </c>
      <c r="O60" s="11">
        <f t="shared" si="111"/>
        <v>0</v>
      </c>
      <c r="P60" s="60">
        <f t="shared" si="128"/>
        <v>2.46</v>
      </c>
      <c r="Q60" s="60">
        <f t="shared" si="129"/>
        <v>0.44999999999999996</v>
      </c>
      <c r="R60" s="60">
        <f t="shared" si="114"/>
        <v>0</v>
      </c>
      <c r="S60" s="60">
        <f t="shared" si="115"/>
        <v>0</v>
      </c>
      <c r="T60" s="8">
        <f t="shared" si="116"/>
        <v>0</v>
      </c>
      <c r="U60" s="60">
        <f t="shared" si="117"/>
        <v>0</v>
      </c>
      <c r="V60" s="60">
        <f t="shared" si="118"/>
        <v>0</v>
      </c>
      <c r="W60" s="60">
        <f t="shared" si="119"/>
        <v>0</v>
      </c>
      <c r="X60" s="61">
        <f t="shared" si="120"/>
        <v>0</v>
      </c>
      <c r="Y60" s="11">
        <f>0.25*B60</f>
        <v>0</v>
      </c>
      <c r="Z60" s="11">
        <v>0</v>
      </c>
      <c r="AA60" s="11">
        <f>32.69*B60</f>
        <v>0</v>
      </c>
      <c r="AB60" s="8">
        <f>4/0.37*B60</f>
        <v>0</v>
      </c>
      <c r="AC60" s="8">
        <f t="shared" si="121"/>
        <v>0</v>
      </c>
      <c r="AD60" s="8">
        <f t="shared" si="130"/>
        <v>0</v>
      </c>
      <c r="AE60" s="8">
        <f t="shared" si="123"/>
        <v>0</v>
      </c>
      <c r="AF60" s="9">
        <f t="shared" si="124"/>
        <v>0</v>
      </c>
      <c r="AG60" s="14"/>
      <c r="AH60" s="12"/>
      <c r="AI60" s="12"/>
      <c r="AJ60" s="27"/>
      <c r="AK60" s="55">
        <v>3</v>
      </c>
      <c r="AL60" s="55">
        <v>0.24</v>
      </c>
      <c r="AM60" s="38">
        <f>IF(AK60-1.8-0.6-0.15&gt;=0.4,AK60-1.8-0.6-0.15,0.4)</f>
        <v>0.44999999999999996</v>
      </c>
      <c r="AN60" s="62"/>
      <c r="AO60" s="38">
        <f>AK60-AM60-0.15+0.06</f>
        <v>2.46</v>
      </c>
      <c r="AP60" s="38">
        <f>AK60-AM60-0.6-0.06</f>
        <v>1.8899999999999997</v>
      </c>
      <c r="AQ60" s="38">
        <v>2.4</v>
      </c>
      <c r="AR60" s="38">
        <f>3.14*2.65*2.65/4-3.14*1.65*1.65/4</f>
        <v>3.3754999999999993</v>
      </c>
      <c r="AS60" s="13"/>
      <c r="AT60" s="13"/>
    </row>
    <row r="61" spans="1:46" ht="21.95" hidden="1" customHeight="1" x14ac:dyDescent="0.15">
      <c r="A61" s="64" t="s">
        <v>150</v>
      </c>
      <c r="B61" s="59"/>
      <c r="C61" s="61" t="s">
        <v>87</v>
      </c>
      <c r="D61" s="61">
        <f t="shared" si="125"/>
        <v>0</v>
      </c>
      <c r="E61" s="61">
        <f t="shared" si="126"/>
        <v>0</v>
      </c>
      <c r="F61" s="11">
        <f>0.62*B61</f>
        <v>0</v>
      </c>
      <c r="G61" s="11">
        <f t="shared" si="110"/>
        <v>0</v>
      </c>
      <c r="H61" s="11">
        <f>4.3*B61</f>
        <v>0</v>
      </c>
      <c r="I61" s="11">
        <v>0</v>
      </c>
      <c r="J61" s="11">
        <f>81*B61</f>
        <v>0</v>
      </c>
      <c r="K61" s="11">
        <f>AO61*1.07*B61</f>
        <v>0</v>
      </c>
      <c r="L61" s="11">
        <f>106.74*B61</f>
        <v>0</v>
      </c>
      <c r="M61" s="11">
        <f t="shared" si="131"/>
        <v>0</v>
      </c>
      <c r="N61" s="11">
        <f t="shared" si="127"/>
        <v>0</v>
      </c>
      <c r="O61" s="11">
        <f t="shared" si="111"/>
        <v>0</v>
      </c>
      <c r="P61" s="60">
        <f t="shared" si="128"/>
        <v>2.68</v>
      </c>
      <c r="Q61" s="60">
        <f t="shared" si="129"/>
        <v>1.2500000000000002</v>
      </c>
      <c r="R61" s="60">
        <f t="shared" si="114"/>
        <v>0</v>
      </c>
      <c r="S61" s="60">
        <f t="shared" si="115"/>
        <v>0</v>
      </c>
      <c r="T61" s="8">
        <f t="shared" si="116"/>
        <v>0</v>
      </c>
      <c r="U61" s="60">
        <f t="shared" si="117"/>
        <v>0</v>
      </c>
      <c r="V61" s="60">
        <f t="shared" si="118"/>
        <v>0</v>
      </c>
      <c r="W61" s="60">
        <f t="shared" si="119"/>
        <v>0</v>
      </c>
      <c r="X61" s="61">
        <f t="shared" si="120"/>
        <v>0</v>
      </c>
      <c r="Y61" s="11">
        <f>0.35*B61</f>
        <v>0</v>
      </c>
      <c r="Z61" s="11">
        <v>0</v>
      </c>
      <c r="AA61" s="11">
        <f>44.57*B61</f>
        <v>0</v>
      </c>
      <c r="AB61" s="8">
        <f>4/0.37*B61</f>
        <v>0</v>
      </c>
      <c r="AC61" s="8">
        <f t="shared" si="121"/>
        <v>0</v>
      </c>
      <c r="AD61" s="8">
        <f t="shared" si="130"/>
        <v>0</v>
      </c>
      <c r="AE61" s="8">
        <f t="shared" si="123"/>
        <v>0</v>
      </c>
      <c r="AF61" s="9">
        <f t="shared" si="124"/>
        <v>0</v>
      </c>
      <c r="AG61" s="14"/>
      <c r="AH61" s="12"/>
      <c r="AI61" s="12"/>
      <c r="AJ61" s="27"/>
      <c r="AK61" s="55">
        <v>4</v>
      </c>
      <c r="AL61" s="55">
        <v>0.24</v>
      </c>
      <c r="AM61" s="38">
        <f>IF(AK61-1.8-0.8-0.15&gt;=0.4,AK61-1.8-0.8-0.15,0.4)</f>
        <v>1.2500000000000002</v>
      </c>
      <c r="AN61" s="62"/>
      <c r="AO61" s="38">
        <f>AK61-AM61-0.15+0.08</f>
        <v>2.68</v>
      </c>
      <c r="AP61" s="38">
        <f>AK61-AM61-1-0.1</f>
        <v>1.65</v>
      </c>
      <c r="AQ61" s="38">
        <v>2.4</v>
      </c>
      <c r="AR61" s="38">
        <f>3.14*2.9*2.9/4-3.145*1.9*1.9/4</f>
        <v>3.7634875000000001</v>
      </c>
      <c r="AS61" s="13"/>
    </row>
    <row r="62" spans="1:46" ht="21.95" hidden="1" customHeight="1" x14ac:dyDescent="0.15">
      <c r="A62" s="64" t="s">
        <v>150</v>
      </c>
      <c r="B62" s="59"/>
      <c r="C62" s="61" t="s">
        <v>41</v>
      </c>
      <c r="D62" s="61">
        <f t="shared" si="125"/>
        <v>0</v>
      </c>
      <c r="E62" s="61">
        <f t="shared" si="126"/>
        <v>0</v>
      </c>
      <c r="F62" s="11">
        <f>0.62*B62</f>
        <v>0</v>
      </c>
      <c r="G62" s="11">
        <f t="shared" si="110"/>
        <v>0</v>
      </c>
      <c r="H62" s="11">
        <f>4.3*B62</f>
        <v>0</v>
      </c>
      <c r="I62" s="11">
        <v>0</v>
      </c>
      <c r="J62" s="11">
        <f>81*B62</f>
        <v>0</v>
      </c>
      <c r="K62" s="11">
        <f>AO62*1.07*B62</f>
        <v>0</v>
      </c>
      <c r="L62" s="11">
        <f>106.74*B62</f>
        <v>0</v>
      </c>
      <c r="M62" s="11">
        <f t="shared" si="131"/>
        <v>0</v>
      </c>
      <c r="N62" s="11">
        <f t="shared" si="127"/>
        <v>0</v>
      </c>
      <c r="O62" s="11">
        <f t="shared" si="111"/>
        <v>0</v>
      </c>
      <c r="P62" s="60">
        <f t="shared" si="128"/>
        <v>2.9</v>
      </c>
      <c r="Q62" s="60">
        <f t="shared" si="129"/>
        <v>1.0500000000000003</v>
      </c>
      <c r="R62" s="60">
        <f t="shared" si="114"/>
        <v>0</v>
      </c>
      <c r="S62" s="60">
        <f t="shared" si="115"/>
        <v>0</v>
      </c>
      <c r="T62" s="8">
        <f t="shared" si="116"/>
        <v>0</v>
      </c>
      <c r="U62" s="60">
        <f t="shared" si="117"/>
        <v>0</v>
      </c>
      <c r="V62" s="60">
        <f t="shared" si="118"/>
        <v>0</v>
      </c>
      <c r="W62" s="60">
        <f t="shared" si="119"/>
        <v>0</v>
      </c>
      <c r="X62" s="61">
        <f t="shared" si="120"/>
        <v>0</v>
      </c>
      <c r="Y62" s="11">
        <f>0.35*B62</f>
        <v>0</v>
      </c>
      <c r="Z62" s="11">
        <v>0</v>
      </c>
      <c r="AA62" s="11">
        <f>44.57*B62</f>
        <v>0</v>
      </c>
      <c r="AB62" s="8">
        <f>4/0.37*B62</f>
        <v>0</v>
      </c>
      <c r="AC62" s="8">
        <f t="shared" si="121"/>
        <v>0</v>
      </c>
      <c r="AD62" s="8">
        <f t="shared" si="130"/>
        <v>0</v>
      </c>
      <c r="AE62" s="8">
        <f t="shared" si="123"/>
        <v>0</v>
      </c>
      <c r="AF62" s="9">
        <f t="shared" si="124"/>
        <v>0</v>
      </c>
      <c r="AG62" s="14"/>
      <c r="AH62" s="12"/>
      <c r="AI62" s="12"/>
      <c r="AJ62" s="27"/>
      <c r="AK62" s="55">
        <v>4</v>
      </c>
      <c r="AL62" s="55">
        <v>0.13</v>
      </c>
      <c r="AM62" s="38">
        <f>IF(AK62-1.8-1-0.15&gt;=0.4,AK62-1.8-1-0.15,0.4)</f>
        <v>1.0500000000000003</v>
      </c>
      <c r="AN62" s="62"/>
      <c r="AO62" s="38">
        <f>AK62-AM62-0.15+0.1</f>
        <v>2.9</v>
      </c>
      <c r="AP62" s="38">
        <f>AK62-AM62-1-0.1</f>
        <v>1.8499999999999996</v>
      </c>
      <c r="AQ62" s="38">
        <v>2.4</v>
      </c>
      <c r="AR62" s="38">
        <f>3.14*2.9*2.9/4-3.14*1.9*1.9/4</f>
        <v>3.7679999999999998</v>
      </c>
      <c r="AS62" s="13"/>
    </row>
    <row r="63" spans="1:46" ht="21.95" hidden="1" customHeight="1" x14ac:dyDescent="0.15">
      <c r="A63" s="64" t="s">
        <v>27</v>
      </c>
      <c r="B63" s="59"/>
      <c r="C63" s="61"/>
      <c r="D63" s="61"/>
      <c r="E63" s="61"/>
      <c r="F63" s="11">
        <f t="shared" ref="F63:AF63" si="132">SUM(F58:F61)</f>
        <v>7.48</v>
      </c>
      <c r="G63" s="11">
        <f t="shared" si="132"/>
        <v>17</v>
      </c>
      <c r="H63" s="11">
        <f t="shared" si="132"/>
        <v>25.5</v>
      </c>
      <c r="I63" s="11">
        <f t="shared" si="132"/>
        <v>0</v>
      </c>
      <c r="J63" s="11">
        <f t="shared" si="132"/>
        <v>944.18</v>
      </c>
      <c r="K63" s="11">
        <f t="shared" si="132"/>
        <v>28.559999999999995</v>
      </c>
      <c r="L63" s="11"/>
      <c r="M63" s="11"/>
      <c r="N63" s="11"/>
      <c r="O63" s="11">
        <f t="shared" si="132"/>
        <v>11.220000000000004</v>
      </c>
      <c r="P63" s="60">
        <f t="shared" si="132"/>
        <v>9.73</v>
      </c>
      <c r="Q63" s="60">
        <f t="shared" si="132"/>
        <v>4.9000000000000004</v>
      </c>
      <c r="R63" s="60">
        <f t="shared" si="132"/>
        <v>0.43010000000000004</v>
      </c>
      <c r="S63" s="60">
        <f t="shared" si="132"/>
        <v>16.988949999999999</v>
      </c>
      <c r="T63" s="8">
        <f t="shared" si="132"/>
        <v>17</v>
      </c>
      <c r="U63" s="60">
        <f t="shared" si="132"/>
        <v>2.839</v>
      </c>
      <c r="V63" s="60">
        <f t="shared" si="132"/>
        <v>87.38</v>
      </c>
      <c r="W63" s="60">
        <f t="shared" si="132"/>
        <v>443.02</v>
      </c>
      <c r="X63" s="61">
        <f t="shared" si="132"/>
        <v>17</v>
      </c>
      <c r="Y63" s="11">
        <f t="shared" si="132"/>
        <v>2.72</v>
      </c>
      <c r="Z63" s="11">
        <f t="shared" si="132"/>
        <v>0</v>
      </c>
      <c r="AA63" s="11">
        <f t="shared" si="132"/>
        <v>351.73</v>
      </c>
      <c r="AB63" s="8">
        <f t="shared" si="132"/>
        <v>183.78378378378378</v>
      </c>
      <c r="AC63" s="8">
        <f t="shared" si="132"/>
        <v>17</v>
      </c>
      <c r="AD63" s="8">
        <f t="shared" si="132"/>
        <v>17</v>
      </c>
      <c r="AE63" s="8">
        <f t="shared" si="132"/>
        <v>136</v>
      </c>
      <c r="AF63" s="9">
        <f t="shared" si="132"/>
        <v>154.38600999999997</v>
      </c>
      <c r="AG63" s="14"/>
      <c r="AH63" s="12"/>
      <c r="AI63" s="12"/>
      <c r="AJ63" s="27"/>
      <c r="AK63" s="55"/>
      <c r="AL63" s="55"/>
      <c r="AM63" s="38"/>
      <c r="AN63" s="62"/>
      <c r="AO63" s="38"/>
      <c r="AP63" s="38"/>
      <c r="AQ63" s="38"/>
      <c r="AR63" s="38"/>
      <c r="AS63" s="13"/>
    </row>
    <row r="64" spans="1:46" ht="21.95" hidden="1" customHeight="1" x14ac:dyDescent="0.15">
      <c r="A64" s="383" t="s">
        <v>88</v>
      </c>
      <c r="B64" s="383"/>
      <c r="C64" s="383"/>
      <c r="D64" s="383"/>
      <c r="E64" s="383"/>
      <c r="F64" s="383"/>
      <c r="G64" s="383"/>
      <c r="H64" s="383"/>
      <c r="I64" s="383"/>
      <c r="J64" s="383"/>
      <c r="K64" s="383"/>
      <c r="L64" s="383"/>
      <c r="M64" s="383"/>
      <c r="N64" s="383"/>
      <c r="O64" s="383"/>
      <c r="P64" s="383"/>
      <c r="Q64" s="383"/>
      <c r="R64" s="383"/>
      <c r="S64" s="383"/>
      <c r="T64" s="383"/>
      <c r="U64" s="383"/>
      <c r="V64" s="383"/>
      <c r="W64" s="383"/>
      <c r="X64" s="383"/>
      <c r="Y64" s="383"/>
      <c r="Z64" s="383"/>
      <c r="AA64" s="383"/>
      <c r="AB64" s="383"/>
      <c r="AC64" s="383"/>
      <c r="AD64" s="383"/>
      <c r="AE64" s="383"/>
      <c r="AF64" s="383"/>
      <c r="AG64" s="383"/>
      <c r="AK64" s="55" t="s">
        <v>73</v>
      </c>
      <c r="AL64" s="55" t="s">
        <v>74</v>
      </c>
      <c r="AM64" s="38" t="s">
        <v>75</v>
      </c>
      <c r="AN64" s="62"/>
      <c r="AO64" s="38" t="s">
        <v>76</v>
      </c>
      <c r="AP64" s="38" t="s">
        <v>77</v>
      </c>
      <c r="AQ64" s="38" t="s">
        <v>78</v>
      </c>
      <c r="AR64" s="38" t="s">
        <v>79</v>
      </c>
      <c r="AS64" s="10"/>
      <c r="AT64" s="10"/>
    </row>
    <row r="65" spans="1:75" ht="21.95" hidden="1" customHeight="1" x14ac:dyDescent="0.15">
      <c r="A65" s="64" t="s">
        <v>102</v>
      </c>
      <c r="B65" s="59"/>
      <c r="C65" s="61" t="s">
        <v>84</v>
      </c>
      <c r="D65" s="61"/>
      <c r="E65" s="61"/>
      <c r="F65" s="11">
        <f>0.44*B65</f>
        <v>0</v>
      </c>
      <c r="G65" s="11">
        <f>1*B65</f>
        <v>0</v>
      </c>
      <c r="H65" s="11">
        <f>1.5*B65</f>
        <v>0</v>
      </c>
      <c r="I65" s="11">
        <v>0</v>
      </c>
      <c r="J65" s="11">
        <f>55.54*B65</f>
        <v>0</v>
      </c>
      <c r="K65" s="11">
        <f>AO65*0.75*B65</f>
        <v>0</v>
      </c>
      <c r="L65" s="11"/>
      <c r="M65" s="11"/>
      <c r="N65" s="11"/>
      <c r="O65" s="11">
        <f>0.4*B65*AM65</f>
        <v>0</v>
      </c>
      <c r="P65" s="60">
        <f t="shared" ref="P65:P69" si="133">AO65</f>
        <v>2.2400000000000002</v>
      </c>
      <c r="Q65" s="60">
        <f t="shared" ref="Q65:Q69" si="134">AM65</f>
        <v>1.35</v>
      </c>
      <c r="R65" s="60">
        <f>0.253*0.1*B65</f>
        <v>0</v>
      </c>
      <c r="S65" s="60">
        <f>2.53*0.395*B65</f>
        <v>0</v>
      </c>
      <c r="T65" s="8">
        <f>B65</f>
        <v>0</v>
      </c>
      <c r="U65" s="60">
        <f>0.167*B65</f>
        <v>0</v>
      </c>
      <c r="V65" s="60">
        <f>5.14*B65</f>
        <v>0</v>
      </c>
      <c r="W65" s="60">
        <f>(31.2-5.14)*B65</f>
        <v>0</v>
      </c>
      <c r="X65" s="61">
        <f>B65</f>
        <v>0</v>
      </c>
      <c r="Y65" s="11">
        <f>0.16*B65</f>
        <v>0</v>
      </c>
      <c r="Z65" s="11">
        <v>0</v>
      </c>
      <c r="AA65" s="11">
        <f>20.69*B65</f>
        <v>0</v>
      </c>
      <c r="AB65" s="8">
        <f>AK65/0.37*B65</f>
        <v>0</v>
      </c>
      <c r="AC65" s="8">
        <f>B65*1</f>
        <v>0</v>
      </c>
      <c r="AD65" s="8">
        <f t="shared" ref="AD65:AD69" si="135">AC65</f>
        <v>0</v>
      </c>
      <c r="AE65" s="8">
        <f>8*B65</f>
        <v>0</v>
      </c>
      <c r="AF65" s="9">
        <f>IF(AM65&gt;=AL65,((AM65-AL65)*AQ65+AP65*AR65)*B65,((AP65+AM65-AL65)*AR65)*B65)</f>
        <v>0</v>
      </c>
      <c r="AG65" s="14"/>
      <c r="AH65" s="12"/>
      <c r="AI65" s="12"/>
      <c r="AJ65" s="27"/>
      <c r="AK65" s="55">
        <v>3.7</v>
      </c>
      <c r="AL65" s="55">
        <v>0.24</v>
      </c>
      <c r="AM65" s="38">
        <f>IF(AK65-1.8-0.4-0.15&gt;=0.4,AK65-1.8-0.4-0.15,0.4)</f>
        <v>1.35</v>
      </c>
      <c r="AN65" s="62"/>
      <c r="AO65" s="38">
        <f>AK65-AM65-0.15+0.04</f>
        <v>2.2400000000000002</v>
      </c>
      <c r="AP65" s="38">
        <f>AK65-AM65-0.4-0.04</f>
        <v>1.9100000000000001</v>
      </c>
      <c r="AQ65" s="38">
        <v>2.4</v>
      </c>
      <c r="AR65" s="38">
        <f>3.14*2.4*2.4/4-3.14*1.4*1.4/4</f>
        <v>2.9829999999999997</v>
      </c>
      <c r="AS65" s="13"/>
      <c r="AT65" s="13"/>
    </row>
    <row r="66" spans="1:75" ht="21.95" hidden="1" customHeight="1" x14ac:dyDescent="0.15">
      <c r="A66" s="64" t="s">
        <v>102</v>
      </c>
      <c r="B66" s="59"/>
      <c r="C66" s="61" t="s">
        <v>85</v>
      </c>
      <c r="D66" s="61"/>
      <c r="E66" s="61"/>
      <c r="F66" s="11">
        <f>0.44*B66</f>
        <v>0</v>
      </c>
      <c r="G66" s="11">
        <f>1*B66</f>
        <v>0</v>
      </c>
      <c r="H66" s="11">
        <f>1.5*B66</f>
        <v>0</v>
      </c>
      <c r="I66" s="11">
        <v>0</v>
      </c>
      <c r="J66" s="11">
        <f>55.54*B66</f>
        <v>0</v>
      </c>
      <c r="K66" s="11">
        <f>AO66*0.75*B66</f>
        <v>0</v>
      </c>
      <c r="L66" s="11"/>
      <c r="M66" s="11"/>
      <c r="N66" s="11"/>
      <c r="O66" s="11">
        <f>0.4*B66*AM66</f>
        <v>0</v>
      </c>
      <c r="P66" s="60">
        <f t="shared" si="133"/>
        <v>2.35</v>
      </c>
      <c r="Q66" s="60">
        <f t="shared" si="134"/>
        <v>1.05</v>
      </c>
      <c r="R66" s="60">
        <f>0.253*0.1*B66</f>
        <v>0</v>
      </c>
      <c r="S66" s="60">
        <f>2.53*0.395*B66</f>
        <v>0</v>
      </c>
      <c r="T66" s="8">
        <f>B66</f>
        <v>0</v>
      </c>
      <c r="U66" s="60">
        <f>0.167*B66</f>
        <v>0</v>
      </c>
      <c r="V66" s="60">
        <f>5.14*B66</f>
        <v>0</v>
      </c>
      <c r="W66" s="60">
        <f>(31.2-5.14)*B66</f>
        <v>0</v>
      </c>
      <c r="X66" s="61">
        <f>B66</f>
        <v>0</v>
      </c>
      <c r="Y66" s="11">
        <f>0.16*B66</f>
        <v>0</v>
      </c>
      <c r="Z66" s="11">
        <v>0</v>
      </c>
      <c r="AA66" s="11">
        <f>20.69*B66</f>
        <v>0</v>
      </c>
      <c r="AB66" s="8">
        <f>4/0.37*B66</f>
        <v>0</v>
      </c>
      <c r="AC66" s="8">
        <f>B66*1</f>
        <v>0</v>
      </c>
      <c r="AD66" s="8">
        <f t="shared" si="135"/>
        <v>0</v>
      </c>
      <c r="AE66" s="8">
        <f>8*B66</f>
        <v>0</v>
      </c>
      <c r="AF66" s="9">
        <f>IF(AM66&gt;=AL66,((AM66-AL66)*AQ66+AP66*AR66)*B66,((AP66+AM66-AL66)*AR66)*B66)</f>
        <v>0</v>
      </c>
      <c r="AG66" s="14"/>
      <c r="AH66" s="12"/>
      <c r="AI66" s="12"/>
      <c r="AJ66" s="27"/>
      <c r="AK66" s="55">
        <v>3.5</v>
      </c>
      <c r="AL66" s="55">
        <v>0.24</v>
      </c>
      <c r="AM66" s="38">
        <f>IF(AK66-1.8-0.5-0.15&gt;=0.4,AK66-1.8-0.5-0.15,0.4)</f>
        <v>1.05</v>
      </c>
      <c r="AN66" s="62"/>
      <c r="AO66" s="38">
        <f>AK66-AM66-0.15+0.05</f>
        <v>2.35</v>
      </c>
      <c r="AP66" s="38">
        <f>AK66-AM66-0.5-0.05</f>
        <v>1.9000000000000001</v>
      </c>
      <c r="AQ66" s="38">
        <v>2.4</v>
      </c>
      <c r="AR66" s="38">
        <f>3.14*2.4*2.4/4-3.14*1.4*1.4/4</f>
        <v>2.9829999999999997</v>
      </c>
      <c r="AS66" s="13"/>
      <c r="AT66" s="13"/>
    </row>
    <row r="67" spans="1:75" ht="21.95" hidden="1" customHeight="1" x14ac:dyDescent="0.15">
      <c r="A67" s="64" t="s">
        <v>102</v>
      </c>
      <c r="B67" s="59"/>
      <c r="C67" s="61" t="s">
        <v>86</v>
      </c>
      <c r="D67" s="61"/>
      <c r="E67" s="61"/>
      <c r="F67" s="11">
        <f>0.59*B67</f>
        <v>0</v>
      </c>
      <c r="G67" s="11">
        <f>1*B67</f>
        <v>0</v>
      </c>
      <c r="H67" s="11">
        <f>3*B67</f>
        <v>0</v>
      </c>
      <c r="I67" s="11">
        <v>0</v>
      </c>
      <c r="J67" s="11">
        <f>70.28*B67</f>
        <v>0</v>
      </c>
      <c r="K67" s="11">
        <f>AO67*0.91*B67</f>
        <v>0</v>
      </c>
      <c r="L67" s="11"/>
      <c r="M67" s="11"/>
      <c r="N67" s="11"/>
      <c r="O67" s="11">
        <f>0.4*B67*AM67</f>
        <v>0</v>
      </c>
      <c r="P67" s="60">
        <f t="shared" si="133"/>
        <v>2.46</v>
      </c>
      <c r="Q67" s="60">
        <f t="shared" si="134"/>
        <v>1.4500000000000002</v>
      </c>
      <c r="R67" s="60">
        <f>0.253*0.1*B67</f>
        <v>0</v>
      </c>
      <c r="S67" s="60">
        <f>2.53*0.395*B67</f>
        <v>0</v>
      </c>
      <c r="T67" s="8">
        <f>B67</f>
        <v>0</v>
      </c>
      <c r="U67" s="60">
        <f>0.167*B67</f>
        <v>0</v>
      </c>
      <c r="V67" s="60">
        <f>5.14*B67</f>
        <v>0</v>
      </c>
      <c r="W67" s="60">
        <f>(31.2-5.14)*B67</f>
        <v>0</v>
      </c>
      <c r="X67" s="61">
        <f>B67</f>
        <v>0</v>
      </c>
      <c r="Y67" s="11">
        <f>0.25*B67</f>
        <v>0</v>
      </c>
      <c r="Z67" s="11">
        <v>0</v>
      </c>
      <c r="AA67" s="11">
        <f>32.69*B67</f>
        <v>0</v>
      </c>
      <c r="AB67" s="8">
        <f>4/0.37*B67</f>
        <v>0</v>
      </c>
      <c r="AC67" s="8">
        <f>B67*1</f>
        <v>0</v>
      </c>
      <c r="AD67" s="8">
        <f t="shared" si="135"/>
        <v>0</v>
      </c>
      <c r="AE67" s="8">
        <f>8*B67</f>
        <v>0</v>
      </c>
      <c r="AF67" s="9">
        <f>IF(AM67&gt;=AL67,((AM67-AL67)*AQ67+AP67*AR67)*B67,((AP67+AM67-AL67)*AR67)*B67)</f>
        <v>0</v>
      </c>
      <c r="AG67" s="14"/>
      <c r="AH67" s="12"/>
      <c r="AI67" s="12"/>
      <c r="AJ67" s="27"/>
      <c r="AK67" s="55">
        <v>4</v>
      </c>
      <c r="AL67" s="55">
        <v>0.24</v>
      </c>
      <c r="AM67" s="38">
        <f>IF(AK67-1.8-0.6-0.15&gt;=0.4,AK67-1.8-0.6-0.15,0.4)</f>
        <v>1.4500000000000002</v>
      </c>
      <c r="AN67" s="62"/>
      <c r="AO67" s="38">
        <f>AK67-AM67-0.15+0.06</f>
        <v>2.46</v>
      </c>
      <c r="AP67" s="38">
        <f>AK67-AM67-0.6-0.06</f>
        <v>1.8899999999999997</v>
      </c>
      <c r="AQ67" s="38">
        <v>2.4</v>
      </c>
      <c r="AR67" s="38">
        <f>3.14*2.65*2.65/4-3.14*1.65*1.65/4</f>
        <v>3.3754999999999993</v>
      </c>
      <c r="AS67" s="13"/>
      <c r="AT67" s="13"/>
    </row>
    <row r="68" spans="1:75" ht="21.95" hidden="1" customHeight="1" x14ac:dyDescent="0.15">
      <c r="A68" s="64" t="s">
        <v>102</v>
      </c>
      <c r="B68" s="59"/>
      <c r="C68" s="61" t="s">
        <v>87</v>
      </c>
      <c r="D68" s="61"/>
      <c r="E68" s="61"/>
      <c r="F68" s="11">
        <f>0.62*B68</f>
        <v>0</v>
      </c>
      <c r="G68" s="11">
        <f>1*B68</f>
        <v>0</v>
      </c>
      <c r="H68" s="11">
        <f>4.3*B68</f>
        <v>0</v>
      </c>
      <c r="I68" s="11">
        <v>0</v>
      </c>
      <c r="J68" s="11">
        <f>81*B68</f>
        <v>0</v>
      </c>
      <c r="K68" s="11">
        <f>AO68*1.07*B68</f>
        <v>0</v>
      </c>
      <c r="L68" s="11"/>
      <c r="M68" s="11"/>
      <c r="N68" s="11"/>
      <c r="O68" s="11">
        <f>0.4*B68*AM68</f>
        <v>0</v>
      </c>
      <c r="P68" s="60">
        <f t="shared" si="133"/>
        <v>2.68</v>
      </c>
      <c r="Q68" s="60">
        <f t="shared" si="134"/>
        <v>1.2500000000000002</v>
      </c>
      <c r="R68" s="60">
        <f>0.253*0.1*B68</f>
        <v>0</v>
      </c>
      <c r="S68" s="60">
        <f>2.53*0.395*B68</f>
        <v>0</v>
      </c>
      <c r="T68" s="8">
        <f>B68</f>
        <v>0</v>
      </c>
      <c r="U68" s="60">
        <f>0.167*B68</f>
        <v>0</v>
      </c>
      <c r="V68" s="60">
        <f>5.14*B68</f>
        <v>0</v>
      </c>
      <c r="W68" s="60">
        <f>(31.2-5.14)*B68</f>
        <v>0</v>
      </c>
      <c r="X68" s="61">
        <f>B68</f>
        <v>0</v>
      </c>
      <c r="Y68" s="11">
        <f>0.35*B68</f>
        <v>0</v>
      </c>
      <c r="Z68" s="11">
        <v>0</v>
      </c>
      <c r="AA68" s="11">
        <f>44.57*B68</f>
        <v>0</v>
      </c>
      <c r="AB68" s="8">
        <f>4/0.37*B68</f>
        <v>0</v>
      </c>
      <c r="AC68" s="8">
        <f>B68*1</f>
        <v>0</v>
      </c>
      <c r="AD68" s="8">
        <f t="shared" si="135"/>
        <v>0</v>
      </c>
      <c r="AE68" s="8">
        <f>8*B68</f>
        <v>0</v>
      </c>
      <c r="AF68" s="9">
        <f>IF(AM68&gt;=AL68,((AM68-AL68)*AQ68+AP68*AR68)*B68,((AP68+AM68-AL68)*AR68)*B68)</f>
        <v>0</v>
      </c>
      <c r="AG68" s="14"/>
      <c r="AH68" s="12"/>
      <c r="AI68" s="12"/>
      <c r="AJ68" s="27"/>
      <c r="AK68" s="55">
        <v>4</v>
      </c>
      <c r="AL68" s="55">
        <v>0.24</v>
      </c>
      <c r="AM68" s="38">
        <f>IF(AK68-1.8-0.8-0.15&gt;=0.4,AK68-1.8-0.8-0.15,0.4)</f>
        <v>1.2500000000000002</v>
      </c>
      <c r="AN68" s="62"/>
      <c r="AO68" s="38">
        <f>AK68-AM68-0.15+0.08</f>
        <v>2.68</v>
      </c>
      <c r="AP68" s="38">
        <f>AK68-AM68-1-0.1</f>
        <v>1.65</v>
      </c>
      <c r="AQ68" s="38">
        <v>2.4</v>
      </c>
      <c r="AR68" s="38">
        <f>3.14*2.9*2.9/4-3.145*1.9*1.9/4</f>
        <v>3.7634875000000001</v>
      </c>
      <c r="AS68" s="13"/>
    </row>
    <row r="69" spans="1:75" ht="21.95" hidden="1" customHeight="1" x14ac:dyDescent="0.15">
      <c r="A69" s="64" t="s">
        <v>102</v>
      </c>
      <c r="B69" s="59"/>
      <c r="C69" s="61" t="s">
        <v>41</v>
      </c>
      <c r="D69" s="61"/>
      <c r="E69" s="61"/>
      <c r="F69" s="11">
        <f>0.62*B69</f>
        <v>0</v>
      </c>
      <c r="G69" s="11">
        <f>1*B69</f>
        <v>0</v>
      </c>
      <c r="H69" s="11">
        <f>4.3*B69</f>
        <v>0</v>
      </c>
      <c r="I69" s="11">
        <v>0</v>
      </c>
      <c r="J69" s="11">
        <f>81*B69</f>
        <v>0</v>
      </c>
      <c r="K69" s="11">
        <f>AO69*1.07*B69</f>
        <v>0</v>
      </c>
      <c r="L69" s="11"/>
      <c r="M69" s="11"/>
      <c r="N69" s="11"/>
      <c r="O69" s="11">
        <f>0.4*B69*AM69</f>
        <v>0</v>
      </c>
      <c r="P69" s="60">
        <f t="shared" si="133"/>
        <v>2.9</v>
      </c>
      <c r="Q69" s="60">
        <f t="shared" si="134"/>
        <v>1.0500000000000003</v>
      </c>
      <c r="R69" s="60">
        <f>0.253*0.1*B69</f>
        <v>0</v>
      </c>
      <c r="S69" s="60">
        <f>2.53*0.395*B69</f>
        <v>0</v>
      </c>
      <c r="T69" s="8">
        <f>B69</f>
        <v>0</v>
      </c>
      <c r="U69" s="60">
        <f>0.167*B69</f>
        <v>0</v>
      </c>
      <c r="V69" s="60">
        <f>5.14*B69</f>
        <v>0</v>
      </c>
      <c r="W69" s="60">
        <f>(31.2-5.14)*B69</f>
        <v>0</v>
      </c>
      <c r="X69" s="61">
        <f>B69</f>
        <v>0</v>
      </c>
      <c r="Y69" s="11">
        <f>0.35*B69</f>
        <v>0</v>
      </c>
      <c r="Z69" s="11">
        <v>0</v>
      </c>
      <c r="AA69" s="11">
        <f>44.57*B69</f>
        <v>0</v>
      </c>
      <c r="AB69" s="8">
        <f>4/0.37*B69</f>
        <v>0</v>
      </c>
      <c r="AC69" s="8">
        <f>B69*1</f>
        <v>0</v>
      </c>
      <c r="AD69" s="8">
        <f t="shared" si="135"/>
        <v>0</v>
      </c>
      <c r="AE69" s="8">
        <f>8*B69</f>
        <v>0</v>
      </c>
      <c r="AF69" s="9">
        <f>IF(AM69&gt;=AL69,((AM69-AL69)*AQ69+AP69*AR69)*B69,((AP69+AM69-AL69)*AR69)*B69)</f>
        <v>0</v>
      </c>
      <c r="AG69" s="14"/>
      <c r="AH69" s="12"/>
      <c r="AI69" s="12"/>
      <c r="AJ69" s="27"/>
      <c r="AK69" s="55">
        <v>4</v>
      </c>
      <c r="AL69" s="55">
        <v>0.13</v>
      </c>
      <c r="AM69" s="38">
        <f>IF(AK69-1.8-1-0.15&gt;=0.4,AK69-1.8-1-0.15,0.4)</f>
        <v>1.0500000000000003</v>
      </c>
      <c r="AN69" s="62"/>
      <c r="AO69" s="38">
        <f>AK69-AM69-0.15+0.1</f>
        <v>2.9</v>
      </c>
      <c r="AP69" s="38">
        <f>AK69-AM69-1-0.1</f>
        <v>1.8499999999999996</v>
      </c>
      <c r="AQ69" s="38">
        <v>2.4</v>
      </c>
      <c r="AR69" s="38">
        <f>3.14*2.9*2.9/4-3.14*1.9*1.9/4</f>
        <v>3.7679999999999998</v>
      </c>
      <c r="AS69" s="13"/>
    </row>
    <row r="70" spans="1:75" ht="21.95" hidden="1" customHeight="1" x14ac:dyDescent="0.15">
      <c r="A70" s="64" t="s">
        <v>27</v>
      </c>
      <c r="B70" s="59">
        <f>SUM(B65:B68)</f>
        <v>0</v>
      </c>
      <c r="C70" s="61"/>
      <c r="D70" s="61"/>
      <c r="E70" s="61"/>
      <c r="F70" s="11">
        <f t="shared" ref="F70:AF70" si="136">SUM(F65:F68)</f>
        <v>0</v>
      </c>
      <c r="G70" s="11">
        <f t="shared" si="136"/>
        <v>0</v>
      </c>
      <c r="H70" s="11">
        <f t="shared" si="136"/>
        <v>0</v>
      </c>
      <c r="I70" s="11">
        <f t="shared" si="136"/>
        <v>0</v>
      </c>
      <c r="J70" s="11">
        <f t="shared" si="136"/>
        <v>0</v>
      </c>
      <c r="K70" s="11">
        <f t="shared" si="136"/>
        <v>0</v>
      </c>
      <c r="L70" s="11"/>
      <c r="M70" s="11"/>
      <c r="N70" s="11"/>
      <c r="O70" s="11">
        <f t="shared" si="136"/>
        <v>0</v>
      </c>
      <c r="P70" s="60">
        <f t="shared" si="136"/>
        <v>9.73</v>
      </c>
      <c r="Q70" s="60">
        <f t="shared" si="136"/>
        <v>5.1000000000000005</v>
      </c>
      <c r="R70" s="60">
        <f t="shared" si="136"/>
        <v>0</v>
      </c>
      <c r="S70" s="60">
        <f t="shared" si="136"/>
        <v>0</v>
      </c>
      <c r="T70" s="8">
        <f t="shared" si="136"/>
        <v>0</v>
      </c>
      <c r="U70" s="60">
        <f t="shared" si="136"/>
        <v>0</v>
      </c>
      <c r="V70" s="60">
        <f t="shared" si="136"/>
        <v>0</v>
      </c>
      <c r="W70" s="60">
        <f t="shared" si="136"/>
        <v>0</v>
      </c>
      <c r="X70" s="61">
        <f t="shared" si="136"/>
        <v>0</v>
      </c>
      <c r="Y70" s="11">
        <f t="shared" si="136"/>
        <v>0</v>
      </c>
      <c r="Z70" s="11">
        <f t="shared" si="136"/>
        <v>0</v>
      </c>
      <c r="AA70" s="11">
        <f t="shared" si="136"/>
        <v>0</v>
      </c>
      <c r="AB70" s="8">
        <f t="shared" si="136"/>
        <v>0</v>
      </c>
      <c r="AC70" s="8">
        <f t="shared" si="136"/>
        <v>0</v>
      </c>
      <c r="AD70" s="8">
        <f t="shared" si="136"/>
        <v>0</v>
      </c>
      <c r="AE70" s="8">
        <f t="shared" si="136"/>
        <v>0</v>
      </c>
      <c r="AF70" s="9">
        <f t="shared" si="136"/>
        <v>0</v>
      </c>
      <c r="AG70" s="14"/>
      <c r="AH70" s="12"/>
      <c r="AI70" s="12"/>
      <c r="AJ70" s="27"/>
      <c r="AK70" s="55"/>
      <c r="AL70" s="55"/>
      <c r="AM70" s="38"/>
      <c r="AN70" s="62"/>
      <c r="AO70" s="38"/>
      <c r="AP70" s="38"/>
      <c r="AQ70" s="38"/>
      <c r="AR70" s="38"/>
      <c r="AS70" s="13"/>
    </row>
    <row r="71" spans="1:75" ht="26.25" hidden="1" customHeight="1" x14ac:dyDescent="0.15">
      <c r="A71" s="64" t="s">
        <v>28</v>
      </c>
      <c r="B71" s="71">
        <v>0</v>
      </c>
      <c r="C71" s="61" t="s">
        <v>29</v>
      </c>
      <c r="D71" s="61"/>
      <c r="E71" s="61"/>
      <c r="F71" s="11"/>
      <c r="G71" s="231">
        <f>0.86*B71</f>
        <v>0</v>
      </c>
      <c r="H71" s="231"/>
      <c r="I71" s="231"/>
      <c r="J71" s="61">
        <v>0</v>
      </c>
      <c r="K71" s="231">
        <f>5.6*B71</f>
        <v>0</v>
      </c>
      <c r="L71" s="231"/>
      <c r="M71" s="231"/>
      <c r="N71" s="231"/>
      <c r="O71" s="231" t="e">
        <f>0.71*#REF!*B71</f>
        <v>#REF!</v>
      </c>
      <c r="P71" s="61"/>
      <c r="Q71" s="61"/>
      <c r="R71" s="61"/>
      <c r="S71" s="61"/>
      <c r="T71" s="61">
        <f>B71</f>
        <v>0</v>
      </c>
      <c r="U71" s="61"/>
      <c r="V71" s="61"/>
      <c r="W71" s="61"/>
      <c r="X71" s="61"/>
      <c r="Y71" s="61">
        <f>0.41*B71</f>
        <v>0</v>
      </c>
      <c r="Z71" s="61"/>
      <c r="AA71" s="61">
        <f>46.94*B71</f>
        <v>0</v>
      </c>
      <c r="AB71" s="61"/>
      <c r="AC71" s="61"/>
      <c r="AD71" s="61"/>
      <c r="AE71" s="61"/>
      <c r="AF71" s="15"/>
      <c r="AG71" s="14" t="s">
        <v>30</v>
      </c>
      <c r="AH71" s="12"/>
      <c r="AI71" s="12"/>
      <c r="AK71" s="68">
        <v>4</v>
      </c>
      <c r="AL71" s="68"/>
      <c r="AM71" s="20">
        <f>AO71*(3.72*2.58-2.72*1.58)+AQ71*(2.18^2-1.18^2)*3.14159/4</f>
        <v>16.551988820000002</v>
      </c>
      <c r="AN71" s="69"/>
      <c r="AO71" s="20">
        <v>2.65</v>
      </c>
      <c r="AP71" s="20"/>
      <c r="AQ71" s="20">
        <f>AK71-AO71-0.4</f>
        <v>0.95000000000000007</v>
      </c>
      <c r="AR71" s="21">
        <f>IF(AQ71-0.6&lt;0,0,AQ71-0.6)</f>
        <v>0.35000000000000009</v>
      </c>
      <c r="AS71" s="13"/>
      <c r="AT71" s="13"/>
    </row>
    <row r="72" spans="1:75" ht="26.25" hidden="1" customHeight="1" x14ac:dyDescent="0.15">
      <c r="A72" s="64"/>
      <c r="B72" s="71"/>
      <c r="C72" s="61"/>
      <c r="D72" s="61"/>
      <c r="E72" s="61"/>
      <c r="F72" s="11"/>
      <c r="G72" s="231"/>
      <c r="H72" s="231"/>
      <c r="I72" s="231"/>
      <c r="J72" s="61"/>
      <c r="K72" s="231"/>
      <c r="L72" s="231"/>
      <c r="M72" s="231"/>
      <c r="N72" s="231"/>
      <c r="O72" s="23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15"/>
      <c r="AG72" s="14"/>
      <c r="AH72" s="12"/>
      <c r="AI72" s="12"/>
      <c r="AK72" s="68"/>
      <c r="AL72" s="68"/>
      <c r="AM72" s="20"/>
      <c r="AN72" s="69"/>
      <c r="AO72" s="20"/>
      <c r="AP72" s="20"/>
      <c r="AQ72" s="20"/>
      <c r="AR72" s="21"/>
      <c r="AS72" s="13"/>
      <c r="AT72" s="13"/>
    </row>
    <row r="73" spans="1:75" ht="37.5" hidden="1" customHeight="1" x14ac:dyDescent="0.15">
      <c r="A73" s="7" t="s">
        <v>134</v>
      </c>
      <c r="B73" s="7" t="s">
        <v>135</v>
      </c>
      <c r="C73" s="78" t="s">
        <v>139</v>
      </c>
      <c r="D73" s="392" t="s">
        <v>136</v>
      </c>
      <c r="E73" s="392"/>
      <c r="F73" s="392"/>
      <c r="G73" s="7"/>
      <c r="H73" s="7"/>
      <c r="I73" s="7"/>
      <c r="J73" s="7"/>
      <c r="K73" s="400" t="s">
        <v>137</v>
      </c>
      <c r="L73" s="400"/>
      <c r="M73" s="400"/>
      <c r="N73" s="232"/>
      <c r="O73" s="392" t="s">
        <v>140</v>
      </c>
      <c r="P73" s="386"/>
      <c r="Q73" s="386"/>
      <c r="R73" s="386"/>
      <c r="S73" s="386"/>
      <c r="T73" s="385" t="s">
        <v>141</v>
      </c>
      <c r="U73" s="385"/>
      <c r="V73" s="385"/>
      <c r="W73" s="385"/>
      <c r="X73" s="385"/>
      <c r="Y73" s="385"/>
      <c r="Z73" s="7"/>
      <c r="AA73" s="7"/>
      <c r="AB73" s="7"/>
      <c r="AC73" s="7"/>
      <c r="AD73" s="61"/>
      <c r="AE73" s="61"/>
      <c r="AF73" s="15"/>
      <c r="AG73" s="14"/>
      <c r="AH73" s="12"/>
      <c r="AI73" s="12"/>
      <c r="AK73" s="68">
        <v>5</v>
      </c>
      <c r="AL73" s="68"/>
      <c r="AM73" s="20">
        <f>AO73*(3.72*2.58-2.72*1.58)+AQ73*(2.18^2-1.18^2)*3.14159/4</f>
        <v>20.388403400000001</v>
      </c>
      <c r="AN73" s="69"/>
      <c r="AO73" s="20">
        <v>3.1</v>
      </c>
      <c r="AP73" s="20"/>
      <c r="AQ73" s="20">
        <f>AK73-AO73-0.4</f>
        <v>1.5</v>
      </c>
      <c r="AR73" s="21">
        <f>IF(AQ73-0.6&lt;0,0,AQ73-0.6)</f>
        <v>0.9</v>
      </c>
      <c r="AS73" s="13"/>
      <c r="AT73" s="13"/>
    </row>
    <row r="74" spans="1:75" ht="26.25" hidden="1" customHeight="1" x14ac:dyDescent="0.15">
      <c r="A74" s="58" t="s">
        <v>138</v>
      </c>
      <c r="B74" s="59">
        <v>0</v>
      </c>
      <c r="C74" s="7" t="s">
        <v>142</v>
      </c>
      <c r="D74" s="386">
        <f>11.53*B74</f>
        <v>0</v>
      </c>
      <c r="E74" s="386"/>
      <c r="F74" s="386"/>
      <c r="G74" s="7"/>
      <c r="H74" s="7"/>
      <c r="I74" s="7"/>
      <c r="J74" s="7"/>
      <c r="K74" s="386">
        <f>10.24*B74</f>
        <v>0</v>
      </c>
      <c r="L74" s="386"/>
      <c r="M74" s="386"/>
      <c r="N74" s="7"/>
      <c r="O74" s="386">
        <f>12.2*B74</f>
        <v>0</v>
      </c>
      <c r="P74" s="386"/>
      <c r="Q74" s="386"/>
      <c r="R74" s="386"/>
      <c r="S74" s="386"/>
      <c r="T74" s="386" t="s">
        <v>143</v>
      </c>
      <c r="U74" s="386"/>
      <c r="V74" s="386"/>
      <c r="W74" s="386"/>
      <c r="X74" s="386"/>
      <c r="Y74" s="386"/>
      <c r="Z74" s="7"/>
      <c r="AA74" s="7"/>
      <c r="AB74" s="7"/>
      <c r="AC74" s="7"/>
      <c r="AD74" s="61"/>
      <c r="AE74" s="61"/>
      <c r="AF74" s="15"/>
      <c r="AG74" s="14"/>
      <c r="AH74" s="12"/>
      <c r="AI74" s="12"/>
      <c r="AK74" s="68">
        <v>6</v>
      </c>
      <c r="AL74" s="68"/>
      <c r="AM74" s="20">
        <f>AO74*(3.72*2.58-2.72*1.58)+AQ74*(2.18^2-1.18^2)*3.14159/4</f>
        <v>25.688403399999999</v>
      </c>
      <c r="AN74" s="69"/>
      <c r="AO74" s="20">
        <v>4.0999999999999996</v>
      </c>
      <c r="AP74" s="20"/>
      <c r="AQ74" s="20">
        <f>AK74-AO74-0.4</f>
        <v>1.5000000000000004</v>
      </c>
      <c r="AR74" s="21">
        <f>IF(AQ74-0.6&lt;0,0,AQ74-0.6)</f>
        <v>0.90000000000000047</v>
      </c>
      <c r="AS74" s="13"/>
      <c r="AT74" s="13"/>
    </row>
    <row r="75" spans="1:75" ht="26.25" hidden="1" customHeight="1" x14ac:dyDescent="0.15">
      <c r="A75" s="64"/>
      <c r="B75" s="71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61"/>
      <c r="AE75" s="61"/>
      <c r="AF75" s="15"/>
      <c r="AG75" s="14"/>
      <c r="AH75" s="12"/>
      <c r="AI75" s="12"/>
      <c r="AK75" s="68">
        <v>6</v>
      </c>
      <c r="AL75" s="68"/>
      <c r="AM75" s="20">
        <f>AO75*(3.72*2.58-2.72*1.58)+AQ75*(2.18^2-1.18^2)*3.14159/4</f>
        <v>28.349467799999999</v>
      </c>
      <c r="AN75" s="69"/>
      <c r="AO75" s="20">
        <v>5.0999999999999996</v>
      </c>
      <c r="AP75" s="20"/>
      <c r="AQ75" s="20">
        <f>AK75-AO75-0.4</f>
        <v>0.50000000000000033</v>
      </c>
      <c r="AR75" s="21">
        <f>IF(AQ75-0.6&lt;0,0,AQ75-0.6)</f>
        <v>0</v>
      </c>
      <c r="AS75" s="13"/>
      <c r="AT75" s="13"/>
    </row>
    <row r="76" spans="1:75" ht="20.25" customHeight="1" x14ac:dyDescent="0.15">
      <c r="AF76" s="24"/>
      <c r="AG76" s="24"/>
    </row>
    <row r="77" spans="1:75" ht="15" customHeight="1" x14ac:dyDescent="0.15">
      <c r="AF77" s="25"/>
    </row>
    <row r="78" spans="1:75" x14ac:dyDescent="0.15">
      <c r="I78" s="2"/>
      <c r="J78" s="2"/>
      <c r="AG78" s="25"/>
    </row>
    <row r="79" spans="1:75" ht="24.95" customHeight="1" x14ac:dyDescent="0.15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P79" s="72"/>
      <c r="Q79" s="72"/>
      <c r="R79" s="72"/>
      <c r="S79" s="72"/>
      <c r="T79" s="72"/>
      <c r="U79" s="72"/>
      <c r="V79" s="72"/>
      <c r="W79" s="72"/>
      <c r="X79" s="72"/>
      <c r="Z79" s="72"/>
      <c r="AA79" s="72"/>
      <c r="AB79" s="72"/>
      <c r="AE79" s="72"/>
      <c r="AF79" s="72"/>
      <c r="AG79" s="72"/>
      <c r="AH79" s="72"/>
      <c r="AI79" s="72"/>
      <c r="AJ79" s="72"/>
      <c r="AK79" s="73"/>
      <c r="AL79" s="73"/>
      <c r="AM79" s="72"/>
      <c r="AN79" s="73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</row>
    <row r="80" spans="1:75" ht="24.95" customHeight="1" x14ac:dyDescent="0.15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P80" s="72"/>
      <c r="Q80" s="72"/>
      <c r="R80" s="72"/>
      <c r="S80" s="72"/>
      <c r="T80" s="72"/>
      <c r="U80" s="72"/>
      <c r="V80" s="72"/>
      <c r="W80" s="72"/>
      <c r="X80" s="72"/>
      <c r="Z80" s="72"/>
      <c r="AA80" s="72"/>
      <c r="AB80" s="72"/>
      <c r="AE80" s="72"/>
      <c r="AF80" s="72"/>
      <c r="AG80" s="72"/>
      <c r="AH80" s="72"/>
      <c r="AI80" s="72"/>
      <c r="AJ80" s="72"/>
      <c r="AK80" s="73"/>
      <c r="AL80" s="73"/>
      <c r="AM80" s="72"/>
      <c r="AN80" s="73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</row>
    <row r="81" spans="1:75" ht="24.95" customHeight="1" x14ac:dyDescent="0.15">
      <c r="A81" s="72"/>
      <c r="B81" s="72"/>
      <c r="C81" s="72"/>
      <c r="D81" s="72"/>
      <c r="E81" s="72"/>
      <c r="F81" s="72"/>
      <c r="G81" s="72"/>
      <c r="H81" s="72"/>
      <c r="I81" s="72"/>
      <c r="J81" s="72"/>
      <c r="K81" s="74"/>
      <c r="L81" s="74"/>
      <c r="M81" s="74"/>
      <c r="N81" s="74"/>
      <c r="P81" s="72"/>
      <c r="Q81" s="72"/>
      <c r="R81" s="72"/>
      <c r="S81" s="72"/>
      <c r="T81" s="72"/>
      <c r="U81" s="72"/>
      <c r="V81" s="72"/>
      <c r="W81" s="72"/>
      <c r="X81" s="72"/>
      <c r="Z81" s="72"/>
      <c r="AA81" s="74"/>
      <c r="AB81" s="74"/>
      <c r="AE81" s="72"/>
      <c r="AF81" s="72"/>
      <c r="AG81" s="72"/>
      <c r="AH81" s="72"/>
      <c r="AI81" s="72"/>
      <c r="AJ81" s="72"/>
      <c r="AK81" s="73"/>
      <c r="AL81" s="73"/>
      <c r="AM81" s="72"/>
      <c r="AN81" s="73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</row>
    <row r="82" spans="1:75" ht="24.95" customHeight="1" x14ac:dyDescent="0.15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P82" s="72"/>
      <c r="Q82" s="72"/>
      <c r="R82" s="72"/>
      <c r="S82" s="74"/>
      <c r="T82" s="74"/>
      <c r="U82" s="72"/>
      <c r="V82" s="72"/>
      <c r="W82" s="72"/>
      <c r="X82" s="72"/>
      <c r="Z82" s="72"/>
      <c r="AA82" s="72"/>
      <c r="AB82" s="72"/>
      <c r="AE82" s="72"/>
      <c r="AF82" s="72"/>
      <c r="AG82" s="72"/>
      <c r="AH82" s="72"/>
      <c r="AI82" s="72"/>
      <c r="AJ82" s="72"/>
      <c r="AK82" s="73"/>
      <c r="AL82" s="73"/>
      <c r="AM82" s="72"/>
      <c r="AN82" s="73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</row>
    <row r="83" spans="1:75" ht="24.95" customHeight="1" x14ac:dyDescent="0.15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P83" s="72"/>
      <c r="Q83" s="72"/>
      <c r="R83" s="72"/>
      <c r="S83" s="72"/>
      <c r="T83" s="72"/>
      <c r="U83" s="72"/>
      <c r="V83" s="72"/>
      <c r="W83" s="72"/>
      <c r="X83" s="72"/>
      <c r="Z83" s="72"/>
      <c r="AA83" s="72"/>
      <c r="AB83" s="72"/>
      <c r="AE83" s="72"/>
      <c r="AF83" s="72"/>
      <c r="AG83" s="72"/>
      <c r="AH83" s="72"/>
      <c r="AI83" s="72"/>
      <c r="AJ83" s="72"/>
      <c r="AK83" s="73"/>
      <c r="AL83" s="73"/>
      <c r="AM83" s="72"/>
      <c r="AN83" s="73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</row>
    <row r="84" spans="1:75" ht="24.95" customHeight="1" x14ac:dyDescent="0.15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P84" s="72"/>
      <c r="Q84" s="72"/>
      <c r="R84" s="72"/>
      <c r="S84" s="72"/>
      <c r="T84" s="72"/>
      <c r="U84" s="72"/>
      <c r="V84" s="72"/>
      <c r="W84" s="72"/>
      <c r="X84" s="72"/>
      <c r="Z84" s="72"/>
      <c r="AA84" s="72"/>
      <c r="AB84" s="72"/>
      <c r="AE84" s="72"/>
      <c r="AF84" s="72"/>
      <c r="AG84" s="72"/>
      <c r="AH84" s="72"/>
      <c r="AI84" s="72"/>
      <c r="AJ84" s="72"/>
      <c r="AK84" s="73"/>
      <c r="AL84" s="73"/>
      <c r="AM84" s="72"/>
      <c r="AN84" s="73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</row>
    <row r="85" spans="1:75" ht="24.95" customHeight="1" x14ac:dyDescent="0.15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4"/>
      <c r="L85" s="74"/>
      <c r="M85" s="74"/>
      <c r="N85" s="74"/>
      <c r="R85" s="72"/>
      <c r="S85" s="74"/>
      <c r="T85" s="74"/>
      <c r="U85" s="72"/>
      <c r="X85" s="72"/>
      <c r="Z85" s="72"/>
      <c r="AA85" s="74"/>
      <c r="AB85" s="74"/>
      <c r="AC85" s="72"/>
      <c r="AD85" s="72"/>
      <c r="AE85" s="72"/>
      <c r="AF85" s="72"/>
      <c r="AG85" s="72"/>
      <c r="AH85" s="72"/>
      <c r="AI85" s="72"/>
      <c r="AJ85" s="72"/>
      <c r="AK85" s="73"/>
      <c r="AL85" s="73"/>
      <c r="AM85" s="72"/>
      <c r="AN85" s="73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</row>
    <row r="86" spans="1:75" ht="24.95" customHeight="1" x14ac:dyDescent="0.15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R86" s="72"/>
      <c r="S86" s="72"/>
      <c r="T86" s="72"/>
      <c r="U86" s="72"/>
      <c r="X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3"/>
      <c r="AL86" s="73"/>
      <c r="AM86" s="72"/>
      <c r="AN86" s="73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</row>
    <row r="87" spans="1:75" ht="24.95" customHeight="1" x14ac:dyDescent="0.15">
      <c r="A87" s="72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S87" s="74"/>
      <c r="T87" s="74"/>
      <c r="U87" s="72"/>
      <c r="X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3"/>
      <c r="AL87" s="73"/>
      <c r="AM87" s="72"/>
      <c r="AN87" s="73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</row>
    <row r="88" spans="1:75" ht="24.95" customHeight="1" x14ac:dyDescent="0.15">
      <c r="A88" s="72"/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U88" s="72"/>
      <c r="X88" s="72"/>
      <c r="Z88" s="72"/>
      <c r="AA88" s="72"/>
      <c r="AB88" s="72"/>
      <c r="AC88" s="72"/>
      <c r="AD88" s="72"/>
      <c r="AE88" s="72"/>
      <c r="AF88" s="75"/>
      <c r="AG88" s="72"/>
      <c r="AH88" s="72"/>
      <c r="AI88" s="72"/>
      <c r="AJ88" s="72"/>
      <c r="AK88" s="73"/>
      <c r="AL88" s="73"/>
      <c r="AM88" s="72"/>
      <c r="AN88" s="73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</row>
    <row r="89" spans="1:75" ht="24.95" customHeight="1" x14ac:dyDescent="0.15">
      <c r="A89" s="72"/>
      <c r="B89" s="72"/>
      <c r="C89" s="72"/>
      <c r="D89" s="72"/>
      <c r="E89" s="72"/>
      <c r="F89" s="72"/>
      <c r="G89" s="72"/>
      <c r="H89" s="72"/>
      <c r="I89" s="72"/>
      <c r="J89" s="72"/>
      <c r="K89" s="74"/>
      <c r="L89" s="74"/>
      <c r="M89" s="74"/>
      <c r="N89" s="74"/>
      <c r="R89" s="72"/>
      <c r="S89" s="72"/>
      <c r="T89" s="72"/>
      <c r="U89" s="72"/>
      <c r="X89" s="72"/>
      <c r="Z89" s="72"/>
      <c r="AA89" s="72"/>
      <c r="AB89" s="72"/>
      <c r="AC89" s="72"/>
      <c r="AD89" s="72"/>
      <c r="AE89" s="72"/>
      <c r="AF89" s="75"/>
      <c r="AG89" s="72"/>
      <c r="AH89" s="72"/>
      <c r="AI89" s="72"/>
      <c r="AJ89" s="72"/>
      <c r="AK89" s="73"/>
      <c r="AL89" s="73"/>
      <c r="AM89" s="72"/>
      <c r="AN89" s="73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</row>
    <row r="90" spans="1:75" ht="24.95" customHeight="1" x14ac:dyDescent="0.15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R90" s="72"/>
      <c r="S90" s="72"/>
      <c r="T90" s="72"/>
      <c r="U90" s="72"/>
      <c r="V90" s="72"/>
      <c r="W90" s="72"/>
      <c r="X90" s="72"/>
      <c r="Z90" s="72"/>
      <c r="AA90" s="72"/>
      <c r="AB90" s="72"/>
      <c r="AC90" s="72"/>
      <c r="AD90" s="72"/>
      <c r="AE90" s="72"/>
      <c r="AF90" s="75"/>
      <c r="AG90" s="72"/>
      <c r="AH90" s="72"/>
      <c r="AI90" s="72"/>
      <c r="AJ90" s="72"/>
      <c r="AK90" s="73"/>
      <c r="AL90" s="73"/>
      <c r="AM90" s="72"/>
      <c r="AN90" s="73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</row>
    <row r="91" spans="1:75" ht="24.95" customHeight="1" x14ac:dyDescent="0.15">
      <c r="A91" s="72"/>
      <c r="B91" s="72"/>
      <c r="C91" s="72"/>
      <c r="D91" s="72"/>
      <c r="E91" s="72"/>
      <c r="F91" s="72"/>
      <c r="G91" s="72"/>
      <c r="H91" s="72"/>
      <c r="I91" s="72"/>
      <c r="J91" s="72"/>
      <c r="K91" s="74"/>
      <c r="L91" s="74"/>
      <c r="M91" s="74"/>
      <c r="N91" s="74"/>
      <c r="R91" s="72"/>
      <c r="S91" s="74"/>
      <c r="T91" s="74"/>
      <c r="U91" s="72"/>
      <c r="V91" s="72"/>
      <c r="W91" s="72"/>
      <c r="X91" s="72"/>
      <c r="Z91" s="72"/>
      <c r="AA91" s="72"/>
      <c r="AB91" s="72"/>
      <c r="AC91" s="72"/>
      <c r="AD91" s="72"/>
      <c r="AE91" s="72"/>
      <c r="AF91" s="75"/>
      <c r="AG91" s="72"/>
      <c r="AH91" s="72"/>
      <c r="AI91" s="72"/>
      <c r="AJ91" s="72"/>
      <c r="AK91" s="73"/>
      <c r="AL91" s="73"/>
      <c r="AM91" s="72"/>
      <c r="AN91" s="73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</row>
    <row r="92" spans="1:75" ht="24.95" customHeight="1" x14ac:dyDescent="0.15">
      <c r="A92" s="72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R92" s="72"/>
      <c r="S92" s="72"/>
      <c r="T92" s="72"/>
      <c r="U92" s="72"/>
      <c r="V92" s="72"/>
      <c r="W92" s="72"/>
      <c r="X92" s="72"/>
      <c r="Z92" s="72"/>
      <c r="AA92" s="72"/>
      <c r="AB92" s="72"/>
      <c r="AC92" s="72"/>
      <c r="AD92" s="72"/>
      <c r="AE92" s="72"/>
      <c r="AF92" s="75"/>
      <c r="AG92" s="72"/>
      <c r="AH92" s="72"/>
      <c r="AI92" s="72"/>
      <c r="AJ92" s="72"/>
      <c r="AK92" s="73"/>
      <c r="AL92" s="73"/>
      <c r="AM92" s="72"/>
      <c r="AN92" s="73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</row>
    <row r="93" spans="1:75" ht="24.95" customHeight="1" x14ac:dyDescent="0.15">
      <c r="A93" s="72"/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R93" s="72"/>
      <c r="S93" s="74"/>
      <c r="T93" s="74"/>
      <c r="U93" s="72"/>
      <c r="V93" s="72"/>
      <c r="W93" s="72"/>
      <c r="X93" s="72"/>
      <c r="Z93" s="72"/>
      <c r="AA93" s="72"/>
      <c r="AB93" s="72"/>
      <c r="AC93" s="72"/>
      <c r="AD93" s="72"/>
      <c r="AE93" s="72"/>
      <c r="AF93" s="75"/>
      <c r="AG93" s="72"/>
      <c r="AH93" s="72"/>
      <c r="AI93" s="72"/>
      <c r="AJ93" s="72"/>
      <c r="AK93" s="73"/>
      <c r="AL93" s="73"/>
      <c r="AM93" s="72"/>
      <c r="AN93" s="73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</row>
    <row r="94" spans="1:75" ht="24.95" customHeight="1" x14ac:dyDescent="0.15">
      <c r="A94" s="72"/>
      <c r="B94" s="72"/>
      <c r="C94" s="72"/>
      <c r="D94" s="72"/>
      <c r="E94" s="72"/>
      <c r="F94" s="72"/>
      <c r="G94" s="73"/>
      <c r="H94" s="73"/>
      <c r="I94" s="72"/>
      <c r="J94" s="72"/>
      <c r="K94" s="72"/>
      <c r="L94" s="72"/>
      <c r="M94" s="72"/>
      <c r="N94" s="72"/>
      <c r="O94" s="72"/>
      <c r="R94" s="72"/>
      <c r="S94" s="72"/>
      <c r="T94" s="72"/>
      <c r="U94" s="72"/>
      <c r="V94" s="72"/>
      <c r="W94" s="72"/>
      <c r="X94" s="72"/>
      <c r="Z94" s="72"/>
      <c r="AA94" s="72"/>
      <c r="AB94" s="72"/>
      <c r="AC94" s="72"/>
      <c r="AD94" s="72"/>
      <c r="AE94" s="72"/>
      <c r="AF94" s="75"/>
      <c r="AG94" s="72"/>
      <c r="AH94" s="72"/>
      <c r="AI94" s="72"/>
      <c r="AJ94" s="72"/>
      <c r="AK94" s="73"/>
      <c r="AL94" s="73"/>
      <c r="AM94" s="72"/>
      <c r="AN94" s="73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</row>
    <row r="95" spans="1:75" ht="24.95" customHeight="1" x14ac:dyDescent="0.15">
      <c r="A95" s="72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R95" s="72"/>
      <c r="S95" s="72"/>
      <c r="T95" s="72"/>
      <c r="U95" s="72"/>
      <c r="V95" s="72"/>
      <c r="W95" s="72"/>
      <c r="X95" s="72"/>
      <c r="Z95" s="72"/>
      <c r="AA95" s="72"/>
      <c r="AB95" s="72"/>
      <c r="AC95" s="72"/>
      <c r="AD95" s="72"/>
      <c r="AE95" s="72"/>
      <c r="AF95" s="75"/>
      <c r="AG95" s="72"/>
      <c r="AH95" s="72"/>
      <c r="AI95" s="72"/>
      <c r="AJ95" s="72"/>
      <c r="AK95" s="73"/>
      <c r="AL95" s="73"/>
      <c r="AM95" s="72"/>
      <c r="AN95" s="73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  <c r="BV95" s="72"/>
      <c r="BW95" s="72"/>
    </row>
    <row r="96" spans="1:75" ht="24.95" customHeight="1" x14ac:dyDescent="0.15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5"/>
      <c r="AG96" s="72"/>
      <c r="AH96" s="72"/>
      <c r="AI96" s="72"/>
      <c r="AJ96" s="72"/>
      <c r="AK96" s="73"/>
      <c r="AL96" s="73"/>
      <c r="AM96" s="72"/>
      <c r="AN96" s="73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</row>
    <row r="97" spans="1:75" ht="24.95" customHeight="1" x14ac:dyDescent="0.15">
      <c r="A97" s="72"/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5"/>
      <c r="AG97" s="72"/>
      <c r="AH97" s="72"/>
      <c r="AI97" s="72"/>
      <c r="AJ97" s="72"/>
      <c r="AK97" s="73"/>
      <c r="AL97" s="73"/>
      <c r="AM97" s="72"/>
      <c r="AN97" s="73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2"/>
      <c r="BR97" s="72"/>
      <c r="BS97" s="72"/>
      <c r="BT97" s="72"/>
      <c r="BU97" s="72"/>
      <c r="BV97" s="72"/>
      <c r="BW97" s="72"/>
    </row>
    <row r="98" spans="1:75" ht="24.95" customHeight="1" x14ac:dyDescent="0.15">
      <c r="A98" s="72"/>
      <c r="B98" s="72"/>
      <c r="C98" s="72"/>
      <c r="D98" s="72"/>
      <c r="E98" s="72"/>
      <c r="F98" s="72"/>
      <c r="G98" s="73"/>
      <c r="H98" s="73"/>
      <c r="I98" s="72"/>
      <c r="J98" s="72"/>
      <c r="K98" s="72"/>
      <c r="L98" s="72"/>
      <c r="M98" s="72"/>
      <c r="N98" s="72"/>
      <c r="O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5"/>
      <c r="AG98" s="72"/>
      <c r="AH98" s="72"/>
      <c r="AI98" s="72"/>
      <c r="AJ98" s="72"/>
      <c r="AK98" s="73"/>
      <c r="AL98" s="73"/>
      <c r="AM98" s="72"/>
      <c r="AN98" s="73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  <c r="BV98" s="72"/>
      <c r="BW98" s="72"/>
    </row>
    <row r="99" spans="1:75" ht="24.95" customHeight="1" x14ac:dyDescent="0.15">
      <c r="A99" s="72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3"/>
      <c r="AL99" s="73"/>
      <c r="AM99" s="72"/>
      <c r="AN99" s="73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  <c r="BV99" s="72"/>
      <c r="BW99" s="72"/>
    </row>
    <row r="100" spans="1:75" ht="24.95" customHeight="1" x14ac:dyDescent="0.15">
      <c r="A100" s="72"/>
      <c r="B100" s="72"/>
      <c r="C100" s="72"/>
      <c r="D100" s="72"/>
      <c r="E100" s="72"/>
      <c r="F100" s="72"/>
      <c r="G100" s="73"/>
      <c r="H100" s="73"/>
      <c r="I100" s="72"/>
      <c r="J100" s="72"/>
      <c r="K100" s="72"/>
      <c r="L100" s="72"/>
      <c r="M100" s="72"/>
      <c r="N100" s="72"/>
      <c r="O100" s="72"/>
      <c r="R100" s="76"/>
      <c r="S100" s="76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3"/>
      <c r="AL100" s="73"/>
      <c r="AM100" s="72"/>
      <c r="AN100" s="73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/>
      <c r="BR100" s="72"/>
      <c r="BS100" s="72"/>
      <c r="BT100" s="72"/>
      <c r="BU100" s="72"/>
      <c r="BV100" s="72"/>
      <c r="BW100" s="72"/>
    </row>
    <row r="101" spans="1:75" ht="24.95" customHeight="1" x14ac:dyDescent="0.15">
      <c r="A101" s="72"/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3"/>
      <c r="AL101" s="73"/>
      <c r="AM101" s="72"/>
      <c r="AN101" s="73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2"/>
      <c r="BR101" s="72"/>
      <c r="BS101" s="72"/>
      <c r="BT101" s="72"/>
      <c r="BU101" s="72"/>
      <c r="BV101" s="72"/>
      <c r="BW101" s="72"/>
    </row>
    <row r="102" spans="1:75" ht="24.95" customHeight="1" x14ac:dyDescent="0.15">
      <c r="F102" s="72"/>
      <c r="G102" s="76"/>
      <c r="H102" s="76"/>
      <c r="I102" s="72"/>
      <c r="K102" s="77"/>
      <c r="L102" s="77"/>
      <c r="M102" s="77"/>
      <c r="N102" s="77"/>
      <c r="O102" s="72"/>
      <c r="Y102" s="72"/>
      <c r="Z102" s="72"/>
      <c r="AA102" s="72"/>
      <c r="AG102" s="72"/>
    </row>
    <row r="103" spans="1:75" ht="24.95" customHeight="1" x14ac:dyDescent="0.15">
      <c r="I103" s="72"/>
      <c r="K103" s="72"/>
      <c r="L103" s="72"/>
      <c r="M103" s="72"/>
      <c r="N103" s="72"/>
      <c r="O103" s="72"/>
      <c r="R103" s="72"/>
      <c r="S103" s="72"/>
      <c r="Y103" s="72"/>
      <c r="Z103" s="72"/>
      <c r="AA103" s="72"/>
    </row>
    <row r="104" spans="1:75" ht="24.95" customHeight="1" x14ac:dyDescent="0.15">
      <c r="F104" s="28"/>
      <c r="G104" s="72"/>
      <c r="H104" s="72"/>
      <c r="I104" s="72"/>
      <c r="K104" s="72"/>
      <c r="L104" s="72"/>
      <c r="M104" s="72"/>
      <c r="N104" s="72"/>
      <c r="O104" s="72"/>
      <c r="R104" s="72"/>
      <c r="S104" s="72"/>
      <c r="Y104" s="72"/>
      <c r="Z104" s="72"/>
      <c r="AA104" s="72"/>
    </row>
    <row r="105" spans="1:75" ht="24.95" customHeight="1" x14ac:dyDescent="0.15">
      <c r="G105" s="73"/>
      <c r="H105" s="73"/>
      <c r="I105" s="72"/>
      <c r="K105" s="72"/>
      <c r="L105" s="72"/>
      <c r="M105" s="72"/>
      <c r="N105" s="72"/>
      <c r="O105" s="72"/>
      <c r="R105" s="72"/>
      <c r="S105" s="72"/>
      <c r="Y105" s="72"/>
      <c r="Z105" s="72"/>
      <c r="AA105" s="72"/>
    </row>
    <row r="106" spans="1:75" ht="24.95" customHeight="1" x14ac:dyDescent="0.15">
      <c r="G106" s="72"/>
      <c r="H106" s="72"/>
      <c r="Y106" s="72"/>
      <c r="Z106" s="72"/>
      <c r="AA106" s="72"/>
    </row>
    <row r="107" spans="1:75" ht="24.95" customHeight="1" x14ac:dyDescent="0.15">
      <c r="F107" s="72"/>
      <c r="G107" s="72"/>
      <c r="H107" s="72"/>
      <c r="I107" s="72"/>
      <c r="J107" s="72"/>
      <c r="K107" s="74"/>
      <c r="L107" s="74"/>
      <c r="M107" s="74"/>
      <c r="N107" s="74"/>
      <c r="O107" s="72"/>
      <c r="AA107" s="72"/>
    </row>
    <row r="108" spans="1:75" ht="24.95" customHeight="1" x14ac:dyDescent="0.15">
      <c r="F108" s="72"/>
      <c r="G108" s="72"/>
      <c r="H108" s="72"/>
      <c r="I108" s="72"/>
      <c r="J108" s="72"/>
      <c r="K108" s="72"/>
      <c r="L108" s="72"/>
      <c r="M108" s="72"/>
      <c r="N108" s="72"/>
      <c r="O108" s="72"/>
    </row>
    <row r="109" spans="1:75" ht="24.95" customHeight="1" x14ac:dyDescent="0.15">
      <c r="F109" s="72"/>
      <c r="G109" s="72"/>
      <c r="H109" s="72"/>
      <c r="I109" s="72"/>
      <c r="J109" s="72"/>
      <c r="K109" s="72"/>
      <c r="L109" s="72"/>
      <c r="M109" s="72"/>
      <c r="N109" s="72"/>
      <c r="O109" s="72"/>
    </row>
    <row r="110" spans="1:75" ht="24.95" customHeight="1" x14ac:dyDescent="0.15">
      <c r="K110" s="74"/>
      <c r="L110" s="74"/>
      <c r="M110" s="74"/>
      <c r="N110" s="74"/>
      <c r="O110" s="72"/>
    </row>
    <row r="111" spans="1:75" ht="24.95" customHeight="1" x14ac:dyDescent="0.15">
      <c r="K111" s="72"/>
      <c r="L111" s="72"/>
      <c r="M111" s="72"/>
      <c r="N111" s="72"/>
      <c r="O111" s="72"/>
    </row>
    <row r="112" spans="1:75" ht="24.95" customHeight="1" x14ac:dyDescent="0.15">
      <c r="K112" s="72"/>
      <c r="L112" s="72"/>
      <c r="M112" s="72"/>
      <c r="N112" s="72"/>
      <c r="O112" s="72"/>
    </row>
    <row r="113" spans="11:15" ht="24.95" customHeight="1" x14ac:dyDescent="0.15">
      <c r="K113" s="72"/>
      <c r="L113" s="72"/>
      <c r="M113" s="72"/>
      <c r="N113" s="72"/>
      <c r="O113" s="72"/>
    </row>
    <row r="114" spans="11:15" ht="24.95" customHeight="1" x14ac:dyDescent="0.15"/>
    <row r="115" spans="11:15" ht="24.95" customHeight="1" x14ac:dyDescent="0.15"/>
    <row r="116" spans="11:15" ht="24.95" customHeight="1" x14ac:dyDescent="0.15"/>
    <row r="117" spans="11:15" ht="24.95" customHeight="1" x14ac:dyDescent="0.15"/>
    <row r="118" spans="11:15" ht="24.95" customHeight="1" x14ac:dyDescent="0.15"/>
    <row r="119" spans="11:15" ht="24.95" customHeight="1" x14ac:dyDescent="0.15"/>
    <row r="120" spans="11:15" ht="24.95" customHeight="1" x14ac:dyDescent="0.15"/>
    <row r="121" spans="11:15" ht="24.95" customHeight="1" x14ac:dyDescent="0.15"/>
    <row r="122" spans="11:15" ht="24.95" customHeight="1" x14ac:dyDescent="0.15"/>
    <row r="123" spans="11:15" ht="24.95" customHeight="1" x14ac:dyDescent="0.15"/>
    <row r="124" spans="11:15" ht="24.95" customHeight="1" x14ac:dyDescent="0.15"/>
    <row r="125" spans="11:15" ht="24.95" customHeight="1" x14ac:dyDescent="0.15"/>
    <row r="126" spans="11:15" ht="24.95" customHeight="1" x14ac:dyDescent="0.15"/>
    <row r="127" spans="11:15" ht="24.95" customHeight="1" x14ac:dyDescent="0.15"/>
    <row r="128" spans="11:15" ht="24.95" customHeight="1" x14ac:dyDescent="0.15"/>
    <row r="129" ht="24.95" customHeight="1" x14ac:dyDescent="0.15"/>
    <row r="130" ht="24.95" customHeight="1" x14ac:dyDescent="0.15"/>
    <row r="131" ht="24.95" customHeight="1" x14ac:dyDescent="0.15"/>
    <row r="132" ht="24.95" customHeight="1" x14ac:dyDescent="0.15"/>
    <row r="133" ht="24.95" customHeight="1" x14ac:dyDescent="0.15"/>
    <row r="134" ht="24.95" customHeight="1" x14ac:dyDescent="0.15"/>
    <row r="135" ht="24.95" customHeight="1" x14ac:dyDescent="0.15"/>
    <row r="136" ht="24.95" customHeight="1" x14ac:dyDescent="0.15"/>
    <row r="137" ht="24.95" customHeight="1" x14ac:dyDescent="0.15"/>
    <row r="138" ht="24.95" customHeight="1" x14ac:dyDescent="0.15"/>
  </sheetData>
  <mergeCells count="59">
    <mergeCell ref="L5:L6"/>
    <mergeCell ref="N5:N6"/>
    <mergeCell ref="A64:AG64"/>
    <mergeCell ref="D73:F73"/>
    <mergeCell ref="K73:M73"/>
    <mergeCell ref="O73:S73"/>
    <mergeCell ref="T73:Y73"/>
    <mergeCell ref="AB5:AB7"/>
    <mergeCell ref="AC5:AC7"/>
    <mergeCell ref="AD5:AD7"/>
    <mergeCell ref="AE5:AE7"/>
    <mergeCell ref="V6:V7"/>
    <mergeCell ref="W6:W7"/>
    <mergeCell ref="Z6:Z7"/>
    <mergeCell ref="AA6:AA7"/>
    <mergeCell ref="T5:T7"/>
    <mergeCell ref="D74:F74"/>
    <mergeCell ref="K74:M74"/>
    <mergeCell ref="O74:S74"/>
    <mergeCell ref="T74:Y74"/>
    <mergeCell ref="AQ9:AR9"/>
    <mergeCell ref="A10:AG10"/>
    <mergeCell ref="A20:AG20"/>
    <mergeCell ref="A29:AG29"/>
    <mergeCell ref="A42:AG42"/>
    <mergeCell ref="A56:AG56"/>
    <mergeCell ref="A41:AG41"/>
    <mergeCell ref="A19:AG19"/>
    <mergeCell ref="U5:U7"/>
    <mergeCell ref="V5:W5"/>
    <mergeCell ref="X5:X7"/>
    <mergeCell ref="Y5:Y7"/>
    <mergeCell ref="Z5:AA5"/>
    <mergeCell ref="M5:M6"/>
    <mergeCell ref="O5:O6"/>
    <mergeCell ref="P5:P7"/>
    <mergeCell ref="Q5:Q7"/>
    <mergeCell ref="R5:R7"/>
    <mergeCell ref="F5:F7"/>
    <mergeCell ref="G5:G7"/>
    <mergeCell ref="H5:H7"/>
    <mergeCell ref="I5:J6"/>
    <mergeCell ref="K5:K6"/>
    <mergeCell ref="F1:Z1"/>
    <mergeCell ref="AF3:AG3"/>
    <mergeCell ref="A4:A8"/>
    <mergeCell ref="B4:B7"/>
    <mergeCell ref="C4:C8"/>
    <mergeCell ref="E4:F4"/>
    <mergeCell ref="K4:Q4"/>
    <mergeCell ref="R4:T4"/>
    <mergeCell ref="U4:X4"/>
    <mergeCell ref="Y4:AA4"/>
    <mergeCell ref="S5:S7"/>
    <mergeCell ref="AB4:AE4"/>
    <mergeCell ref="AF4:AF7"/>
    <mergeCell ref="AG4:AG8"/>
    <mergeCell ref="D5:D7"/>
    <mergeCell ref="E5:E7"/>
  </mergeCells>
  <phoneticPr fontId="6" type="noConversion"/>
  <printOptions horizontalCentered="1"/>
  <pageMargins left="0.86614173228346458" right="0.35433070866141736" top="0.98425196850393704" bottom="0.70866141732283472" header="0.51181102362204722" footer="0.51181102362204722"/>
  <pageSetup paperSize="8" scale="66" orientation="landscape" horizontalDpi="180" verticalDpi="18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W93"/>
  <sheetViews>
    <sheetView view="pageBreakPreview" zoomScaleNormal="100" zoomScaleSheetLayoutView="100" workbookViewId="0">
      <pane xSplit="3" topLeftCell="D1" activePane="topRight" state="frozenSplit"/>
      <selection pane="topRight" activeCell="C35" sqref="C35"/>
    </sheetView>
  </sheetViews>
  <sheetFormatPr defaultColWidth="9" defaultRowHeight="14.25" x14ac:dyDescent="0.15"/>
  <cols>
    <col min="1" max="1" width="21" style="1" customWidth="1"/>
    <col min="2" max="2" width="5.5" style="1" customWidth="1"/>
    <col min="3" max="3" width="23.25" style="1" customWidth="1"/>
    <col min="4" max="4" width="11" style="1" customWidth="1"/>
    <col min="5" max="5" width="9.25" style="1" customWidth="1"/>
    <col min="6" max="6" width="11.625" style="2" customWidth="1"/>
    <col min="7" max="7" width="9.375" style="1" hidden="1" customWidth="1"/>
    <col min="8" max="8" width="8.25" style="1" hidden="1" customWidth="1"/>
    <col min="9" max="9" width="9.5" style="1" hidden="1" customWidth="1"/>
    <col min="10" max="10" width="10.25" style="1" hidden="1" customWidth="1"/>
    <col min="11" max="11" width="13.375" style="1" customWidth="1"/>
    <col min="12" max="12" width="11.375" style="1" customWidth="1"/>
    <col min="13" max="13" width="14" style="1" customWidth="1"/>
    <col min="14" max="15" width="11.875" style="1" customWidth="1"/>
    <col min="16" max="16" width="7.125" style="1" hidden="1" customWidth="1"/>
    <col min="17" max="17" width="6.5" style="1" hidden="1" customWidth="1"/>
    <col min="18" max="18" width="8.5" style="1" hidden="1" customWidth="1"/>
    <col min="19" max="19" width="8.375" style="1" hidden="1" customWidth="1"/>
    <col min="20" max="20" width="6.875" style="1" hidden="1" customWidth="1"/>
    <col min="21" max="22" width="7.875" style="1" customWidth="1"/>
    <col min="23" max="23" width="8.875" style="1" customWidth="1"/>
    <col min="24" max="24" width="7.875" style="1" customWidth="1"/>
    <col min="25" max="25" width="8.75" style="1" customWidth="1"/>
    <col min="26" max="26" width="9.25" style="1" customWidth="1"/>
    <col min="27" max="27" width="9.375" style="1" customWidth="1"/>
    <col min="28" max="31" width="7.5" style="1" customWidth="1"/>
    <col min="32" max="32" width="11.375" style="1" customWidth="1"/>
    <col min="33" max="33" width="11" style="1" customWidth="1"/>
    <col min="34" max="35" width="6.75" style="1" customWidth="1"/>
    <col min="36" max="36" width="22.125" style="1" customWidth="1"/>
    <col min="37" max="37" width="11.75" style="44" customWidth="1"/>
    <col min="38" max="38" width="20.5" style="44" customWidth="1"/>
    <col min="39" max="39" width="16" style="1" customWidth="1"/>
    <col min="40" max="40" width="13" style="44" customWidth="1"/>
    <col min="41" max="41" width="12" style="1" customWidth="1"/>
    <col min="42" max="42" width="12.5" style="1" customWidth="1"/>
    <col min="43" max="43" width="10.625" style="1" customWidth="1"/>
    <col min="44" max="44" width="10.875" style="3" customWidth="1"/>
    <col min="45" max="51" width="8.625" style="1" customWidth="1"/>
    <col min="52" max="54" width="9.125" style="1" customWidth="1"/>
    <col min="55" max="56" width="8.625" style="1" customWidth="1"/>
    <col min="57" max="61" width="9" style="1"/>
    <col min="62" max="62" width="10.625" style="1" customWidth="1"/>
    <col min="63" max="16384" width="9" style="1"/>
  </cols>
  <sheetData>
    <row r="1" spans="1:45" ht="20.25" x14ac:dyDescent="0.25">
      <c r="K1" s="368" t="s">
        <v>367</v>
      </c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  <c r="Y1" s="368"/>
      <c r="Z1" s="368"/>
    </row>
    <row r="2" spans="1:45" ht="26.25" customHeight="1" x14ac:dyDescent="0.15">
      <c r="A2" s="37"/>
      <c r="B2" s="4"/>
      <c r="C2" s="4"/>
      <c r="D2" s="4"/>
      <c r="E2" s="4"/>
      <c r="F2" s="4"/>
      <c r="G2" s="4"/>
      <c r="H2" s="45"/>
      <c r="I2" s="45"/>
      <c r="J2" s="45"/>
      <c r="O2" s="37" t="s">
        <v>368</v>
      </c>
      <c r="AF2" s="346" t="s">
        <v>91</v>
      </c>
      <c r="AG2" s="347"/>
    </row>
    <row r="3" spans="1:45" ht="23.25" customHeight="1" x14ac:dyDescent="0.15">
      <c r="A3" s="348" t="s">
        <v>1</v>
      </c>
      <c r="B3" s="348" t="s">
        <v>2</v>
      </c>
      <c r="C3" s="349" t="s">
        <v>55</v>
      </c>
      <c r="D3" s="42" t="s">
        <v>94</v>
      </c>
      <c r="E3" s="350" t="s">
        <v>95</v>
      </c>
      <c r="F3" s="351"/>
      <c r="G3" s="46"/>
      <c r="H3" s="46"/>
      <c r="I3" s="46"/>
      <c r="J3" s="47"/>
      <c r="K3" s="352" t="s">
        <v>3</v>
      </c>
      <c r="L3" s="353"/>
      <c r="M3" s="353"/>
      <c r="N3" s="353"/>
      <c r="O3" s="353"/>
      <c r="P3" s="353"/>
      <c r="Q3" s="354"/>
      <c r="R3" s="348" t="s">
        <v>56</v>
      </c>
      <c r="S3" s="348"/>
      <c r="T3" s="348"/>
      <c r="U3" s="350" t="s">
        <v>92</v>
      </c>
      <c r="V3" s="355"/>
      <c r="W3" s="355"/>
      <c r="X3" s="351"/>
      <c r="Y3" s="350" t="s">
        <v>4</v>
      </c>
      <c r="Z3" s="355"/>
      <c r="AA3" s="355"/>
      <c r="AB3" s="350" t="s">
        <v>57</v>
      </c>
      <c r="AC3" s="355"/>
      <c r="AD3" s="355"/>
      <c r="AE3" s="351"/>
      <c r="AF3" s="356" t="s">
        <v>247</v>
      </c>
      <c r="AG3" s="348" t="s">
        <v>6</v>
      </c>
    </row>
    <row r="4" spans="1:45" ht="15" customHeight="1" x14ac:dyDescent="0.2">
      <c r="A4" s="348"/>
      <c r="B4" s="348"/>
      <c r="C4" s="349"/>
      <c r="D4" s="357" t="s">
        <v>246</v>
      </c>
      <c r="E4" s="359" t="s">
        <v>97</v>
      </c>
      <c r="F4" s="362" t="s">
        <v>98</v>
      </c>
      <c r="G4" s="363" t="s">
        <v>58</v>
      </c>
      <c r="H4" s="363" t="s">
        <v>7</v>
      </c>
      <c r="I4" s="369" t="s">
        <v>8</v>
      </c>
      <c r="J4" s="370"/>
      <c r="K4" s="356" t="s">
        <v>151</v>
      </c>
      <c r="L4" s="362" t="s">
        <v>98</v>
      </c>
      <c r="M4" s="356" t="s">
        <v>153</v>
      </c>
      <c r="N4" s="356" t="s">
        <v>146</v>
      </c>
      <c r="O4" s="363" t="s">
        <v>155</v>
      </c>
      <c r="P4" s="374" t="s">
        <v>60</v>
      </c>
      <c r="Q4" s="374" t="s">
        <v>61</v>
      </c>
      <c r="R4" s="377" t="s">
        <v>62</v>
      </c>
      <c r="S4" s="377" t="s">
        <v>63</v>
      </c>
      <c r="T4" s="363" t="s">
        <v>64</v>
      </c>
      <c r="U4" s="363" t="s">
        <v>65</v>
      </c>
      <c r="V4" s="381" t="s">
        <v>66</v>
      </c>
      <c r="W4" s="382"/>
      <c r="X4" s="363" t="s">
        <v>147</v>
      </c>
      <c r="Y4" s="366" t="s">
        <v>99</v>
      </c>
      <c r="Z4" s="367" t="s">
        <v>9</v>
      </c>
      <c r="AA4" s="367"/>
      <c r="AB4" s="380" t="s">
        <v>10</v>
      </c>
      <c r="AC4" s="380" t="s">
        <v>11</v>
      </c>
      <c r="AD4" s="356" t="s">
        <v>12</v>
      </c>
      <c r="AE4" s="356" t="s">
        <v>13</v>
      </c>
      <c r="AF4" s="356"/>
      <c r="AG4" s="348"/>
    </row>
    <row r="5" spans="1:45" ht="15" customHeight="1" x14ac:dyDescent="0.15">
      <c r="A5" s="348"/>
      <c r="B5" s="348"/>
      <c r="C5" s="349"/>
      <c r="D5" s="358"/>
      <c r="E5" s="360"/>
      <c r="F5" s="360"/>
      <c r="G5" s="364"/>
      <c r="H5" s="364"/>
      <c r="I5" s="371"/>
      <c r="J5" s="372"/>
      <c r="K5" s="356"/>
      <c r="L5" s="360"/>
      <c r="M5" s="356"/>
      <c r="N5" s="356"/>
      <c r="O5" s="376"/>
      <c r="P5" s="375"/>
      <c r="Q5" s="375"/>
      <c r="R5" s="378"/>
      <c r="S5" s="378"/>
      <c r="T5" s="364"/>
      <c r="U5" s="364"/>
      <c r="V5" s="363" t="s">
        <v>67</v>
      </c>
      <c r="W5" s="363" t="s">
        <v>68</v>
      </c>
      <c r="X5" s="364"/>
      <c r="Y5" s="366"/>
      <c r="Z5" s="348" t="s">
        <v>14</v>
      </c>
      <c r="AA5" s="348" t="s">
        <v>15</v>
      </c>
      <c r="AB5" s="380"/>
      <c r="AC5" s="380"/>
      <c r="AD5" s="356"/>
      <c r="AE5" s="356"/>
      <c r="AF5" s="356"/>
      <c r="AG5" s="348"/>
      <c r="AM5" s="5" t="s">
        <v>122</v>
      </c>
    </row>
    <row r="6" spans="1:45" ht="15" customHeight="1" x14ac:dyDescent="0.15">
      <c r="A6" s="348"/>
      <c r="B6" s="348"/>
      <c r="C6" s="349"/>
      <c r="D6" s="358"/>
      <c r="E6" s="361"/>
      <c r="F6" s="361"/>
      <c r="G6" s="365"/>
      <c r="H6" s="365"/>
      <c r="I6" s="48" t="s">
        <v>16</v>
      </c>
      <c r="J6" s="49" t="s">
        <v>15</v>
      </c>
      <c r="K6" s="48" t="s">
        <v>17</v>
      </c>
      <c r="L6" s="48" t="s">
        <v>17</v>
      </c>
      <c r="M6" s="48" t="s">
        <v>152</v>
      </c>
      <c r="N6" s="48" t="s">
        <v>18</v>
      </c>
      <c r="O6" s="48" t="s">
        <v>18</v>
      </c>
      <c r="P6" s="376"/>
      <c r="Q6" s="376"/>
      <c r="R6" s="378"/>
      <c r="S6" s="379"/>
      <c r="T6" s="365"/>
      <c r="U6" s="365"/>
      <c r="V6" s="365"/>
      <c r="W6" s="365"/>
      <c r="X6" s="365"/>
      <c r="Y6" s="366"/>
      <c r="Z6" s="348"/>
      <c r="AA6" s="348"/>
      <c r="AB6" s="380"/>
      <c r="AC6" s="380"/>
      <c r="AD6" s="356"/>
      <c r="AE6" s="356"/>
      <c r="AF6" s="356"/>
      <c r="AG6" s="348"/>
    </row>
    <row r="7" spans="1:45" ht="15" customHeight="1" x14ac:dyDescent="0.15">
      <c r="A7" s="348"/>
      <c r="B7" s="41" t="s">
        <v>19</v>
      </c>
      <c r="C7" s="349"/>
      <c r="D7" s="6" t="s">
        <v>20</v>
      </c>
      <c r="E7" s="6" t="s">
        <v>20</v>
      </c>
      <c r="F7" s="41" t="s">
        <v>21</v>
      </c>
      <c r="G7" s="41" t="s">
        <v>20</v>
      </c>
      <c r="H7" s="41" t="s">
        <v>69</v>
      </c>
      <c r="I7" s="41" t="s">
        <v>21</v>
      </c>
      <c r="J7" s="41" t="s">
        <v>21</v>
      </c>
      <c r="K7" s="48" t="s">
        <v>22</v>
      </c>
      <c r="L7" s="41" t="s">
        <v>21</v>
      </c>
      <c r="M7" s="48" t="s">
        <v>22</v>
      </c>
      <c r="N7" s="48" t="s">
        <v>22</v>
      </c>
      <c r="O7" s="41" t="s">
        <v>21</v>
      </c>
      <c r="P7" s="48" t="s">
        <v>71</v>
      </c>
      <c r="Q7" s="48" t="s">
        <v>71</v>
      </c>
      <c r="R7" s="48" t="s">
        <v>22</v>
      </c>
      <c r="S7" s="41" t="s">
        <v>21</v>
      </c>
      <c r="T7" s="41" t="s">
        <v>23</v>
      </c>
      <c r="U7" s="48" t="s">
        <v>22</v>
      </c>
      <c r="V7" s="41" t="s">
        <v>21</v>
      </c>
      <c r="W7" s="41" t="s">
        <v>21</v>
      </c>
      <c r="X7" s="41" t="s">
        <v>23</v>
      </c>
      <c r="Y7" s="41" t="s">
        <v>20</v>
      </c>
      <c r="Z7" s="41" t="s">
        <v>21</v>
      </c>
      <c r="AA7" s="41" t="s">
        <v>21</v>
      </c>
      <c r="AB7" s="50" t="s">
        <v>24</v>
      </c>
      <c r="AC7" s="51" t="s">
        <v>25</v>
      </c>
      <c r="AD7" s="52" t="s">
        <v>24</v>
      </c>
      <c r="AE7" s="48" t="s">
        <v>54</v>
      </c>
      <c r="AF7" s="41" t="s">
        <v>26</v>
      </c>
      <c r="AG7" s="348"/>
    </row>
    <row r="8" spans="1:45" ht="21.95" customHeight="1" x14ac:dyDescent="0.1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  <c r="T8" s="7">
        <v>20</v>
      </c>
      <c r="U8" s="7">
        <v>21</v>
      </c>
      <c r="V8" s="7">
        <v>22</v>
      </c>
      <c r="W8" s="7">
        <v>23</v>
      </c>
      <c r="X8" s="7">
        <v>24</v>
      </c>
      <c r="Y8" s="7">
        <v>25</v>
      </c>
      <c r="Z8" s="7">
        <v>26</v>
      </c>
      <c r="AA8" s="7">
        <v>27</v>
      </c>
      <c r="AB8" s="7">
        <v>28</v>
      </c>
      <c r="AC8" s="7">
        <v>29</v>
      </c>
      <c r="AD8" s="7">
        <v>30</v>
      </c>
      <c r="AE8" s="7">
        <v>31</v>
      </c>
      <c r="AF8" s="7">
        <v>32</v>
      </c>
      <c r="AG8" s="7">
        <v>33</v>
      </c>
      <c r="AK8" s="53"/>
      <c r="AL8" s="53"/>
      <c r="AM8" s="43"/>
      <c r="AN8" s="62"/>
      <c r="AO8" s="43"/>
      <c r="AP8" s="43"/>
      <c r="AQ8" s="373" t="s">
        <v>72</v>
      </c>
      <c r="AR8" s="373"/>
      <c r="AS8" s="27"/>
    </row>
    <row r="9" spans="1:45" ht="21.95" customHeight="1" x14ac:dyDescent="0.15">
      <c r="A9" s="383" t="s">
        <v>156</v>
      </c>
      <c r="B9" s="383"/>
      <c r="C9" s="383"/>
      <c r="D9" s="383"/>
      <c r="E9" s="383"/>
      <c r="F9" s="383"/>
      <c r="G9" s="383"/>
      <c r="H9" s="383"/>
      <c r="I9" s="383"/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  <c r="W9" s="383"/>
      <c r="X9" s="383"/>
      <c r="Y9" s="383"/>
      <c r="Z9" s="383"/>
      <c r="AA9" s="383"/>
      <c r="AB9" s="383"/>
      <c r="AC9" s="383"/>
      <c r="AD9" s="383"/>
      <c r="AE9" s="383"/>
      <c r="AF9" s="383"/>
      <c r="AG9" s="383"/>
      <c r="AK9" s="53" t="s">
        <v>73</v>
      </c>
      <c r="AL9" s="55" t="s">
        <v>74</v>
      </c>
      <c r="AM9" s="43" t="s">
        <v>75</v>
      </c>
      <c r="AN9" s="56" t="s">
        <v>101</v>
      </c>
      <c r="AO9" s="43" t="s">
        <v>76</v>
      </c>
      <c r="AP9" s="43" t="s">
        <v>77</v>
      </c>
      <c r="AQ9" s="43" t="s">
        <v>78</v>
      </c>
      <c r="AR9" s="57" t="s">
        <v>79</v>
      </c>
      <c r="AS9" s="40"/>
    </row>
    <row r="10" spans="1:45" ht="21.95" customHeight="1" x14ac:dyDescent="0.15">
      <c r="A10" s="58" t="s">
        <v>369</v>
      </c>
      <c r="B10" s="59"/>
      <c r="C10" s="7" t="s">
        <v>124</v>
      </c>
      <c r="D10" s="60">
        <f>0.58*B10</f>
        <v>0</v>
      </c>
      <c r="E10" s="60">
        <f>B10*1.32</f>
        <v>0</v>
      </c>
      <c r="F10" s="60">
        <f>B10*94.63</f>
        <v>0</v>
      </c>
      <c r="G10" s="60">
        <v>0</v>
      </c>
      <c r="H10" s="60">
        <v>0</v>
      </c>
      <c r="I10" s="60">
        <f>B10*7.6</f>
        <v>0</v>
      </c>
      <c r="J10" s="60">
        <f>IF(AK10&lt;=4,B10*(98.1-7.6),B10*(131.6-7.6))</f>
        <v>0</v>
      </c>
      <c r="K10" s="60">
        <f>B10*2.51</f>
        <v>0</v>
      </c>
      <c r="L10" s="60">
        <f>B10*305.26</f>
        <v>0</v>
      </c>
      <c r="M10" s="60">
        <f>2.04*B10</f>
        <v>0</v>
      </c>
      <c r="N10" s="11">
        <f t="shared" ref="N10:N18" si="0">0.4*B10*AM10</f>
        <v>0</v>
      </c>
      <c r="O10" s="60">
        <f t="shared" ref="O10:O18" si="1">0.71*B10*AM10</f>
        <v>0</v>
      </c>
      <c r="P10" s="60">
        <f t="shared" ref="P10:P18" si="2">AO10</f>
        <v>1.9</v>
      </c>
      <c r="Q10" s="60">
        <f t="shared" ref="Q10:Q18" si="3">AM10</f>
        <v>2.0599999999999996</v>
      </c>
      <c r="R10" s="60">
        <f t="shared" ref="R10:R18" si="4">0.253*0.1*B10</f>
        <v>0</v>
      </c>
      <c r="S10" s="60">
        <f t="shared" ref="S10:S18" si="5">2.53*0.395*B10</f>
        <v>0</v>
      </c>
      <c r="T10" s="61">
        <f t="shared" ref="T10:T18" si="6">B10</f>
        <v>0</v>
      </c>
      <c r="U10" s="60">
        <f t="shared" ref="U10:U18" si="7">0.167*B10</f>
        <v>0</v>
      </c>
      <c r="V10" s="60">
        <f t="shared" ref="V10:V18" si="8">5.14*B10</f>
        <v>0</v>
      </c>
      <c r="W10" s="60">
        <f t="shared" ref="W10:W18" si="9">(31.2-5.14)*B10</f>
        <v>0</v>
      </c>
      <c r="X10" s="61">
        <f t="shared" ref="X10:X18" si="10">B10</f>
        <v>0</v>
      </c>
      <c r="Y10" s="60">
        <f>IF(AND(AM10&gt;=0.8,AM10&lt;=2),0.54*B10,0.62*B10)</f>
        <v>0</v>
      </c>
      <c r="Z10" s="60">
        <v>0</v>
      </c>
      <c r="AA10" s="60">
        <f>IF(AND(AM10&gt;=0.8,AM10&lt;=2),(((1.98*14*2+2.28)*1.208+2.51*0.888)*B10),(((1.98*14*2+2.28)*1.578+2.51*0.888)*B10))</f>
        <v>0</v>
      </c>
      <c r="AB10" s="8">
        <f t="shared" ref="AB10:AB18" si="11">AK10/0.36*B10</f>
        <v>0</v>
      </c>
      <c r="AC10" s="8">
        <f t="shared" ref="AC10:AC18" si="12">B10*1</f>
        <v>0</v>
      </c>
      <c r="AD10" s="8">
        <f t="shared" ref="AD10:AD18" si="13">AC10</f>
        <v>0</v>
      </c>
      <c r="AE10" s="8">
        <f t="shared" ref="AE10:AE18" si="14">8*B10</f>
        <v>0</v>
      </c>
      <c r="AF10" s="9">
        <f t="shared" ref="AF10:AF18" si="15">IF(AM10&gt;=AL10,((AM10-AL10)*AQ10+AP10*AR10)*B10,((AP10+AM10-AL10)*AR10)*B10)</f>
        <v>0</v>
      </c>
      <c r="AG10" s="7"/>
      <c r="AJ10" s="26"/>
      <c r="AK10" s="55">
        <v>4</v>
      </c>
      <c r="AL10" s="55">
        <v>0.24</v>
      </c>
      <c r="AM10" s="38">
        <f>IF(AK10+0.1-AO10-0.16&gt;=0.4,AK10+0.1-AO10-0.14,0.4)</f>
        <v>2.0599999999999996</v>
      </c>
      <c r="AN10" s="62">
        <f>IF(AND(AM10&gt;=0.8,AM10&lt;=2),0.14,0.16)</f>
        <v>0.16</v>
      </c>
      <c r="AO10" s="38">
        <v>1.9</v>
      </c>
      <c r="AP10" s="38">
        <f>AK10-AM10-1-0.1</f>
        <v>0.84000000000000041</v>
      </c>
      <c r="AQ10" s="38">
        <v>2.64</v>
      </c>
      <c r="AR10" s="38">
        <f>(3.18*3.18-2.18*2.18)</f>
        <v>5.36</v>
      </c>
      <c r="AS10" s="63"/>
    </row>
    <row r="11" spans="1:45" ht="21.95" customHeight="1" x14ac:dyDescent="0.15">
      <c r="A11" s="58" t="s">
        <v>369</v>
      </c>
      <c r="B11" s="59"/>
      <c r="C11" s="7" t="s">
        <v>125</v>
      </c>
      <c r="D11" s="60">
        <f>0.78*B11</f>
        <v>0</v>
      </c>
      <c r="E11" s="60">
        <f>B11*1.82</f>
        <v>0</v>
      </c>
      <c r="F11" s="60">
        <f>B11*130.29</f>
        <v>0</v>
      </c>
      <c r="G11" s="60">
        <v>0</v>
      </c>
      <c r="H11" s="60">
        <v>0</v>
      </c>
      <c r="I11" s="60">
        <f>B11*9.1</f>
        <v>0</v>
      </c>
      <c r="J11" s="60">
        <f>IF(AK11&lt;=4,B11*(107.2-9.1),B11*(142.8-9.1))</f>
        <v>0</v>
      </c>
      <c r="K11" s="60">
        <f>B11*3.03</f>
        <v>0</v>
      </c>
      <c r="L11" s="60">
        <f>B11*364.93</f>
        <v>0</v>
      </c>
      <c r="M11" s="60">
        <f>4.04*B11</f>
        <v>0</v>
      </c>
      <c r="N11" s="11">
        <f t="shared" si="0"/>
        <v>0</v>
      </c>
      <c r="O11" s="60">
        <f t="shared" si="1"/>
        <v>0</v>
      </c>
      <c r="P11" s="60">
        <f t="shared" si="2"/>
        <v>1.92</v>
      </c>
      <c r="Q11" s="60">
        <f t="shared" si="3"/>
        <v>2.04</v>
      </c>
      <c r="R11" s="60">
        <f t="shared" si="4"/>
        <v>0</v>
      </c>
      <c r="S11" s="60">
        <f t="shared" si="5"/>
        <v>0</v>
      </c>
      <c r="T11" s="61">
        <f t="shared" si="6"/>
        <v>0</v>
      </c>
      <c r="U11" s="60">
        <f t="shared" si="7"/>
        <v>0</v>
      </c>
      <c r="V11" s="60">
        <f t="shared" si="8"/>
        <v>0</v>
      </c>
      <c r="W11" s="60">
        <f t="shared" si="9"/>
        <v>0</v>
      </c>
      <c r="X11" s="61">
        <f t="shared" si="10"/>
        <v>0</v>
      </c>
      <c r="Y11" s="60">
        <f>IF(AND(AM11&gt;=0.8,AM11&lt;=2),0.91*B11,1.02*B11)</f>
        <v>0</v>
      </c>
      <c r="Z11" s="60">
        <v>0</v>
      </c>
      <c r="AA11" s="60">
        <f>IF(AND(AM11&gt;=0.8,AM11&lt;=2),(((2.3817*2+2.28)*1.208+2.51*0.888)*B11),(((2.38*17*2+2.28)*1.578+2.51*0.888)*B11))</f>
        <v>0</v>
      </c>
      <c r="AB11" s="8">
        <f t="shared" si="11"/>
        <v>0</v>
      </c>
      <c r="AC11" s="8">
        <f t="shared" si="12"/>
        <v>0</v>
      </c>
      <c r="AD11" s="8">
        <f t="shared" si="13"/>
        <v>0</v>
      </c>
      <c r="AE11" s="8">
        <f t="shared" si="14"/>
        <v>0</v>
      </c>
      <c r="AF11" s="9">
        <f t="shared" si="15"/>
        <v>0</v>
      </c>
      <c r="AG11" s="7"/>
      <c r="AJ11" s="26"/>
      <c r="AK11" s="55">
        <v>4</v>
      </c>
      <c r="AL11" s="55">
        <v>0.24</v>
      </c>
      <c r="AM11" s="38">
        <f>IF(AK11+0.12-AO11-0.18&gt;=0.4,AK11+0.12-AO11-0.16,0.4)</f>
        <v>2.04</v>
      </c>
      <c r="AN11" s="62">
        <f>IF(AND(AM11&gt;=0.8,AM11&lt;=2),0.16,0.18)</f>
        <v>0.18</v>
      </c>
      <c r="AO11" s="38">
        <v>1.92</v>
      </c>
      <c r="AP11" s="38">
        <f>AK11-AM11-1.2-0.12</f>
        <v>0.64</v>
      </c>
      <c r="AQ11" s="38">
        <v>2.64</v>
      </c>
      <c r="AR11" s="38">
        <f>(3.58*3.58-2.58*2.58)</f>
        <v>6.1599999999999993</v>
      </c>
      <c r="AS11" s="63"/>
    </row>
    <row r="12" spans="1:45" ht="21.95" customHeight="1" x14ac:dyDescent="0.15">
      <c r="A12" s="58" t="s">
        <v>369</v>
      </c>
      <c r="B12" s="59"/>
      <c r="C12" s="7" t="s">
        <v>126</v>
      </c>
      <c r="D12" s="60">
        <f>0.96*B12</f>
        <v>0</v>
      </c>
      <c r="E12" s="60">
        <f>B12*2.25</f>
        <v>0</v>
      </c>
      <c r="F12" s="60">
        <f>B12*165.95</f>
        <v>0</v>
      </c>
      <c r="G12" s="60">
        <v>0</v>
      </c>
      <c r="H12" s="60">
        <v>0</v>
      </c>
      <c r="I12" s="60">
        <f>B12*10</f>
        <v>0</v>
      </c>
      <c r="J12" s="60">
        <f>IF(AK12&lt;=4,B12*(115.8-10),B12*(154.2-10))</f>
        <v>0</v>
      </c>
      <c r="K12" s="60">
        <f>B12*3.3</f>
        <v>0</v>
      </c>
      <c r="L12" s="60">
        <f>B12*418.07</f>
        <v>0</v>
      </c>
      <c r="M12" s="60">
        <f>6.84*B12</f>
        <v>0</v>
      </c>
      <c r="N12" s="11">
        <f t="shared" si="0"/>
        <v>0</v>
      </c>
      <c r="O12" s="60">
        <f t="shared" si="1"/>
        <v>0</v>
      </c>
      <c r="P12" s="60">
        <f t="shared" si="2"/>
        <v>1.94</v>
      </c>
      <c r="Q12" s="60">
        <f t="shared" si="3"/>
        <v>2.0149999999999997</v>
      </c>
      <c r="R12" s="60">
        <f t="shared" si="4"/>
        <v>0</v>
      </c>
      <c r="S12" s="60">
        <f t="shared" si="5"/>
        <v>0</v>
      </c>
      <c r="T12" s="61">
        <f t="shared" si="6"/>
        <v>0</v>
      </c>
      <c r="U12" s="60">
        <f t="shared" si="7"/>
        <v>0</v>
      </c>
      <c r="V12" s="60">
        <f t="shared" si="8"/>
        <v>0</v>
      </c>
      <c r="W12" s="60">
        <f t="shared" si="9"/>
        <v>0</v>
      </c>
      <c r="X12" s="61">
        <f t="shared" si="10"/>
        <v>0</v>
      </c>
      <c r="Y12" s="60">
        <f>IF(AND(AM12&gt;=0.8,AM12&lt;=2),1.34*B12,1.49*B12)</f>
        <v>0</v>
      </c>
      <c r="Z12" s="60">
        <v>0</v>
      </c>
      <c r="AA12" s="60">
        <f>IF(AND(AM12&gt;=0.8,AM12&lt;=2),(((2.72*19*2+2.34)*1.208+2.51*0.888)*B12),(((2.72*19*2+2.34)*1.578+2.51*0.888)*B12))</f>
        <v>0</v>
      </c>
      <c r="AB12" s="8">
        <f t="shared" si="11"/>
        <v>0</v>
      </c>
      <c r="AC12" s="8">
        <f t="shared" si="12"/>
        <v>0</v>
      </c>
      <c r="AD12" s="8">
        <f t="shared" si="13"/>
        <v>0</v>
      </c>
      <c r="AE12" s="8">
        <f t="shared" si="14"/>
        <v>0</v>
      </c>
      <c r="AF12" s="9">
        <f t="shared" si="15"/>
        <v>0</v>
      </c>
      <c r="AG12" s="7"/>
      <c r="AJ12" s="26"/>
      <c r="AK12" s="55">
        <v>4</v>
      </c>
      <c r="AL12" s="55">
        <v>0.24</v>
      </c>
      <c r="AM12" s="38">
        <f>IF(AK12+0.135-AO12-0.2&gt;=0.4,AK12+0.135-AO12-0.18,0.4)</f>
        <v>2.0149999999999997</v>
      </c>
      <c r="AN12" s="62">
        <f>IF(AND(AM12&gt;=0.8,AM12&lt;=2),0.18,0.2)</f>
        <v>0.2</v>
      </c>
      <c r="AO12" s="38">
        <v>1.94</v>
      </c>
      <c r="AP12" s="38">
        <f>AK12-AM12-1.35-0.135</f>
        <v>0.50000000000000022</v>
      </c>
      <c r="AQ12" s="38">
        <v>2.64</v>
      </c>
      <c r="AR12" s="38">
        <f>(3.88*3.88-2.88*2.88)</f>
        <v>6.76</v>
      </c>
      <c r="AS12" s="63"/>
    </row>
    <row r="13" spans="1:45" ht="21.95" customHeight="1" x14ac:dyDescent="0.15">
      <c r="A13" s="58" t="s">
        <v>369</v>
      </c>
      <c r="B13" s="59"/>
      <c r="C13" s="7" t="s">
        <v>127</v>
      </c>
      <c r="D13" s="60">
        <f>1.16*B13</f>
        <v>0</v>
      </c>
      <c r="E13" s="60">
        <f>B13*2.72</f>
        <v>0</v>
      </c>
      <c r="F13" s="60">
        <f>B13*194.24</f>
        <v>0</v>
      </c>
      <c r="G13" s="60">
        <v>0</v>
      </c>
      <c r="H13" s="60">
        <v>0</v>
      </c>
      <c r="I13" s="60">
        <f>B13*11.7</f>
        <v>0</v>
      </c>
      <c r="J13" s="60">
        <f>IF(AK13&lt;=4,B13*(123.2-11.7),B13*(163.7-11.7))</f>
        <v>0</v>
      </c>
      <c r="K13" s="60">
        <f>B13*4.15</f>
        <v>0</v>
      </c>
      <c r="L13" s="60">
        <f>B13*501.97</f>
        <v>0</v>
      </c>
      <c r="M13" s="60">
        <f>10.264*B13</f>
        <v>0</v>
      </c>
      <c r="N13" s="11">
        <f t="shared" si="0"/>
        <v>0</v>
      </c>
      <c r="O13" s="60">
        <f t="shared" si="1"/>
        <v>0</v>
      </c>
      <c r="P13" s="60">
        <f t="shared" si="2"/>
        <v>2.17</v>
      </c>
      <c r="Q13" s="60">
        <f t="shared" si="3"/>
        <v>1.28</v>
      </c>
      <c r="R13" s="60">
        <f t="shared" si="4"/>
        <v>0</v>
      </c>
      <c r="S13" s="60">
        <f t="shared" si="5"/>
        <v>0</v>
      </c>
      <c r="T13" s="61">
        <f t="shared" si="6"/>
        <v>0</v>
      </c>
      <c r="U13" s="60">
        <f t="shared" si="7"/>
        <v>0</v>
      </c>
      <c r="V13" s="60">
        <f t="shared" si="8"/>
        <v>0</v>
      </c>
      <c r="W13" s="60">
        <f t="shared" si="9"/>
        <v>0</v>
      </c>
      <c r="X13" s="61">
        <f t="shared" si="10"/>
        <v>0</v>
      </c>
      <c r="Y13" s="60">
        <f>IF(AND(AM13&gt;=0.8,AM13&lt;=2),1.85*B13,2.03*B13)</f>
        <v>0</v>
      </c>
      <c r="Z13" s="60">
        <v>0</v>
      </c>
      <c r="AA13" s="60">
        <f>IF(AND(AM13&gt;=0.8,AM13&lt;=2),(((3.02*21*2+2.34)*1.208+2.51*0.888)*B13),(((3.02*21*2+2.34)*1.578+2.51*0.888)*B13))</f>
        <v>0</v>
      </c>
      <c r="AB13" s="8">
        <f t="shared" si="11"/>
        <v>0</v>
      </c>
      <c r="AC13" s="8">
        <f t="shared" si="12"/>
        <v>0</v>
      </c>
      <c r="AD13" s="8">
        <f t="shared" si="13"/>
        <v>0</v>
      </c>
      <c r="AE13" s="8">
        <f t="shared" si="14"/>
        <v>0</v>
      </c>
      <c r="AF13" s="9">
        <f t="shared" si="15"/>
        <v>0</v>
      </c>
      <c r="AG13" s="7"/>
      <c r="AJ13" s="26"/>
      <c r="AK13" s="55">
        <v>3.5</v>
      </c>
      <c r="AL13" s="55">
        <v>0.24</v>
      </c>
      <c r="AM13" s="38">
        <f>IF(AK13+0.15-AO13-0.22&gt;=0.4,AK13+0.15-AO13-0.2,0.4)</f>
        <v>1.28</v>
      </c>
      <c r="AN13" s="62">
        <f>IF(AND(AM13&gt;=0.8,AM13&lt;=2),0.2,0.22)</f>
        <v>0.2</v>
      </c>
      <c r="AO13" s="38">
        <v>2.17</v>
      </c>
      <c r="AP13" s="38">
        <f>AK13-AM13-1.5-0.15</f>
        <v>0.56999999999999973</v>
      </c>
      <c r="AQ13" s="38">
        <v>2.64</v>
      </c>
      <c r="AR13" s="38">
        <f>(4.18*4.18-3.18*3.18)</f>
        <v>7.3599999999999959</v>
      </c>
      <c r="AS13" s="63"/>
    </row>
    <row r="14" spans="1:45" ht="21.75" customHeight="1" x14ac:dyDescent="0.15">
      <c r="A14" s="58" t="s">
        <v>369</v>
      </c>
      <c r="B14" s="59"/>
      <c r="C14" s="7" t="s">
        <v>128</v>
      </c>
      <c r="D14" s="60">
        <f>1.16*B14</f>
        <v>0</v>
      </c>
      <c r="E14" s="60">
        <f>B14*2.72</f>
        <v>0</v>
      </c>
      <c r="F14" s="60">
        <f>B14*194.24</f>
        <v>0</v>
      </c>
      <c r="G14" s="60">
        <v>0</v>
      </c>
      <c r="H14" s="60">
        <v>0</v>
      </c>
      <c r="I14" s="60">
        <f>B14*11.7</f>
        <v>0</v>
      </c>
      <c r="J14" s="60">
        <f>IF(AK14&lt;=4,B14*(130.9-11.7),B14*(174.1-11.7))</f>
        <v>0</v>
      </c>
      <c r="K14" s="60">
        <f>B14*4.15</f>
        <v>0</v>
      </c>
      <c r="L14" s="60">
        <f>B14*501.97</f>
        <v>0</v>
      </c>
      <c r="M14" s="60">
        <f>10.264*B14</f>
        <v>0</v>
      </c>
      <c r="N14" s="11">
        <f t="shared" si="0"/>
        <v>0</v>
      </c>
      <c r="O14" s="60">
        <f t="shared" si="1"/>
        <v>0</v>
      </c>
      <c r="P14" s="60">
        <f t="shared" si="2"/>
        <v>2.17</v>
      </c>
      <c r="Q14" s="60">
        <f t="shared" si="3"/>
        <v>1.7950000000000002</v>
      </c>
      <c r="R14" s="60">
        <f t="shared" si="4"/>
        <v>0</v>
      </c>
      <c r="S14" s="60">
        <f t="shared" si="5"/>
        <v>0</v>
      </c>
      <c r="T14" s="61">
        <f t="shared" si="6"/>
        <v>0</v>
      </c>
      <c r="U14" s="60">
        <f t="shared" si="7"/>
        <v>0</v>
      </c>
      <c r="V14" s="60">
        <f t="shared" si="8"/>
        <v>0</v>
      </c>
      <c r="W14" s="60">
        <f t="shared" si="9"/>
        <v>0</v>
      </c>
      <c r="X14" s="61">
        <f t="shared" si="10"/>
        <v>0</v>
      </c>
      <c r="Y14" s="60">
        <f>IF(AND(AM14&gt;=0.8,AM14&lt;=2),1.85*B14,2.03*B14)</f>
        <v>0</v>
      </c>
      <c r="Z14" s="60">
        <v>0</v>
      </c>
      <c r="AA14" s="60">
        <f>IF(AND(AM14&gt;=0.8,AM14&lt;=2),(((3.02*21*2+2.34)*1.208+2.51*0.888)*B14),(((3.02*21*2+2.34)*1.578+2.51*0.888)*B14))</f>
        <v>0</v>
      </c>
      <c r="AB14" s="8">
        <f t="shared" si="11"/>
        <v>0</v>
      </c>
      <c r="AC14" s="8">
        <f t="shared" si="12"/>
        <v>0</v>
      </c>
      <c r="AD14" s="8">
        <f t="shared" si="13"/>
        <v>0</v>
      </c>
      <c r="AE14" s="8">
        <f t="shared" si="14"/>
        <v>0</v>
      </c>
      <c r="AF14" s="9">
        <f t="shared" si="15"/>
        <v>0</v>
      </c>
      <c r="AG14" s="7"/>
      <c r="AJ14" s="26"/>
      <c r="AK14" s="55">
        <v>4</v>
      </c>
      <c r="AL14" s="55">
        <v>0.24</v>
      </c>
      <c r="AM14" s="38">
        <f>IF(AK14+0.165-AO14-0.22&gt;=0.4,AK14+0.165-AO14-0.2,0.4)</f>
        <v>1.7950000000000002</v>
      </c>
      <c r="AN14" s="62">
        <f>IF(AND(AM14&gt;=0.8,AM14&lt;=2),0.2,0.22)</f>
        <v>0.2</v>
      </c>
      <c r="AO14" s="38">
        <v>2.17</v>
      </c>
      <c r="AP14" s="38">
        <f>0.36+0.14</f>
        <v>0.5</v>
      </c>
      <c r="AQ14" s="38">
        <v>2.64</v>
      </c>
      <c r="AR14" s="38">
        <f>(4.18*4.18-3.18*3.18)</f>
        <v>7.3599999999999959</v>
      </c>
      <c r="AS14" s="63"/>
    </row>
    <row r="15" spans="1:45" ht="21.95" customHeight="1" x14ac:dyDescent="0.15">
      <c r="A15" s="58" t="s">
        <v>369</v>
      </c>
      <c r="B15" s="59"/>
      <c r="C15" s="7" t="s">
        <v>129</v>
      </c>
      <c r="D15" s="60">
        <f>1.44*B15</f>
        <v>0</v>
      </c>
      <c r="E15" s="60">
        <f>3.42*B15</f>
        <v>0</v>
      </c>
      <c r="F15" s="60">
        <f>B15*488.74</f>
        <v>0</v>
      </c>
      <c r="G15" s="60">
        <v>0</v>
      </c>
      <c r="H15" s="60">
        <v>0</v>
      </c>
      <c r="I15" s="60">
        <f>B15*13.3</f>
        <v>0</v>
      </c>
      <c r="J15" s="60">
        <f>IF(AK15&lt;=4,B15*(140.2-13.3),B15*(186.3-13.3))</f>
        <v>0</v>
      </c>
      <c r="K15" s="60">
        <f>B15*6.5</f>
        <v>0</v>
      </c>
      <c r="L15" s="60">
        <f>B15*645.75</f>
        <v>0</v>
      </c>
      <c r="M15" s="60">
        <f>14.614*B15</f>
        <v>0</v>
      </c>
      <c r="N15" s="11">
        <f t="shared" si="0"/>
        <v>0</v>
      </c>
      <c r="O15" s="60">
        <f t="shared" si="1"/>
        <v>0</v>
      </c>
      <c r="P15" s="60">
        <f t="shared" si="2"/>
        <v>2.41</v>
      </c>
      <c r="Q15" s="60">
        <f t="shared" si="3"/>
        <v>1.5699999999999996</v>
      </c>
      <c r="R15" s="60">
        <f t="shared" si="4"/>
        <v>0</v>
      </c>
      <c r="S15" s="60">
        <f t="shared" si="5"/>
        <v>0</v>
      </c>
      <c r="T15" s="61">
        <f t="shared" si="6"/>
        <v>0</v>
      </c>
      <c r="U15" s="60">
        <f t="shared" si="7"/>
        <v>0</v>
      </c>
      <c r="V15" s="60">
        <f t="shared" si="8"/>
        <v>0</v>
      </c>
      <c r="W15" s="60">
        <f t="shared" si="9"/>
        <v>0</v>
      </c>
      <c r="X15" s="61">
        <f t="shared" si="10"/>
        <v>0</v>
      </c>
      <c r="Y15" s="60">
        <f>IF(AND(AM15&gt;=0.8,AM15&lt;=2),2.24*B15,2.46*B15)</f>
        <v>0</v>
      </c>
      <c r="Z15" s="60">
        <v>0</v>
      </c>
      <c r="AA15" s="60">
        <f>IF(AND(AM15&gt;=0.8,AM15&lt;=2),(((3.32*23*2+2.34)*1.578+2.51*0.888)*B15),((3.32*23*2+2.34)*1.998+2.51*0.888)*B15)</f>
        <v>0</v>
      </c>
      <c r="AB15" s="8">
        <f t="shared" si="11"/>
        <v>0</v>
      </c>
      <c r="AC15" s="8">
        <f t="shared" si="12"/>
        <v>0</v>
      </c>
      <c r="AD15" s="8">
        <f t="shared" si="13"/>
        <v>0</v>
      </c>
      <c r="AE15" s="8">
        <f t="shared" si="14"/>
        <v>0</v>
      </c>
      <c r="AF15" s="9">
        <f t="shared" si="15"/>
        <v>0</v>
      </c>
      <c r="AG15" s="7"/>
      <c r="AJ15" s="26"/>
      <c r="AK15" s="55">
        <v>4</v>
      </c>
      <c r="AL15" s="55">
        <v>0.24</v>
      </c>
      <c r="AM15" s="38">
        <f>IF(AK15+0.18-AO15-0.22&gt;=0.4,AK15+0.18-AO15-0.2,0.4)</f>
        <v>1.5699999999999996</v>
      </c>
      <c r="AN15" s="62">
        <f>IF(AND(AM15&gt;=0.8,AM15&lt;=2),0.2,0.22)</f>
        <v>0.2</v>
      </c>
      <c r="AO15" s="38">
        <v>2.41</v>
      </c>
      <c r="AP15" s="38">
        <f t="shared" ref="AP15:AP18" si="16">0.36+0.14</f>
        <v>0.5</v>
      </c>
      <c r="AQ15" s="38">
        <v>2.64</v>
      </c>
      <c r="AR15" s="38">
        <f>(4.48*4.48-3.48*3.48)</f>
        <v>7.9600000000000026</v>
      </c>
      <c r="AS15" s="63"/>
    </row>
    <row r="16" spans="1:45" ht="21.95" customHeight="1" x14ac:dyDescent="0.15">
      <c r="A16" s="58" t="s">
        <v>369</v>
      </c>
      <c r="B16" s="59"/>
      <c r="C16" s="7" t="s">
        <v>130</v>
      </c>
      <c r="D16" s="60">
        <f>1.68*B16</f>
        <v>0</v>
      </c>
      <c r="E16" s="60">
        <f>4*B16</f>
        <v>0</v>
      </c>
      <c r="F16" s="60">
        <f>B16*572.53</f>
        <v>0</v>
      </c>
      <c r="G16" s="60">
        <v>0</v>
      </c>
      <c r="H16" s="60">
        <v>0</v>
      </c>
      <c r="I16" s="60">
        <f>B16*15</f>
        <v>0</v>
      </c>
      <c r="J16" s="60">
        <f>IF(AK16&lt;=4,B16*(213.9-15),B16*(274.7-15))</f>
        <v>0</v>
      </c>
      <c r="K16" s="60">
        <f>B16*8.04</f>
        <v>0</v>
      </c>
      <c r="L16" s="60">
        <f>B16*784.85</f>
        <v>0</v>
      </c>
      <c r="M16" s="60">
        <f>19.644*B16</f>
        <v>0</v>
      </c>
      <c r="N16" s="11">
        <f t="shared" si="0"/>
        <v>0</v>
      </c>
      <c r="O16" s="60">
        <f t="shared" si="1"/>
        <v>0</v>
      </c>
      <c r="P16" s="60">
        <f t="shared" si="2"/>
        <v>2.75</v>
      </c>
      <c r="Q16" s="60">
        <f t="shared" si="3"/>
        <v>2.1300000000000003</v>
      </c>
      <c r="R16" s="60">
        <f t="shared" si="4"/>
        <v>0</v>
      </c>
      <c r="S16" s="60">
        <f t="shared" si="5"/>
        <v>0</v>
      </c>
      <c r="T16" s="61">
        <f t="shared" si="6"/>
        <v>0</v>
      </c>
      <c r="U16" s="60">
        <f t="shared" si="7"/>
        <v>0</v>
      </c>
      <c r="V16" s="60">
        <f t="shared" si="8"/>
        <v>0</v>
      </c>
      <c r="W16" s="60">
        <f t="shared" si="9"/>
        <v>0</v>
      </c>
      <c r="X16" s="61">
        <f t="shared" si="10"/>
        <v>0</v>
      </c>
      <c r="Y16" s="60">
        <f>IF(AND(AM16&gt;=0.8,AM16&lt;=2),2.93*B16,3.19*B16)</f>
        <v>0</v>
      </c>
      <c r="Z16" s="60">
        <v>0</v>
      </c>
      <c r="AA16" s="60">
        <f>IF(AND(AM16&gt;=0.8,AM16&lt;=2),(((3.62*27*2+2.34)*1.578+2.51*0.888)*B16),((3.62*27*2+2.34)*1.998+2.51*0.888)*B16)</f>
        <v>0</v>
      </c>
      <c r="AB16" s="8">
        <f t="shared" si="11"/>
        <v>0</v>
      </c>
      <c r="AC16" s="8">
        <f t="shared" si="12"/>
        <v>0</v>
      </c>
      <c r="AD16" s="8">
        <f t="shared" si="13"/>
        <v>0</v>
      </c>
      <c r="AE16" s="8">
        <f t="shared" si="14"/>
        <v>0</v>
      </c>
      <c r="AF16" s="9">
        <f t="shared" si="15"/>
        <v>0</v>
      </c>
      <c r="AG16" s="7"/>
      <c r="AI16" s="1">
        <v>69.73</v>
      </c>
      <c r="AJ16" s="26"/>
      <c r="AK16" s="55">
        <v>4.9000000000000004</v>
      </c>
      <c r="AL16" s="55">
        <v>0</v>
      </c>
      <c r="AM16" s="38">
        <f>IF(AK16+0.2-AO16-0.24&gt;=0.4,AK16+0.2-AO16-0.22,0.4)</f>
        <v>2.1300000000000003</v>
      </c>
      <c r="AN16" s="62">
        <f>IF(AND(AM16&gt;=0.8,AM16&lt;=2),0.22,0.24)</f>
        <v>0.24</v>
      </c>
      <c r="AO16" s="38">
        <v>2.75</v>
      </c>
      <c r="AP16" s="38">
        <f t="shared" si="16"/>
        <v>0.5</v>
      </c>
      <c r="AQ16" s="38">
        <v>2.64</v>
      </c>
      <c r="AR16" s="38">
        <f>(5.04*5.04-4.04*4.04)</f>
        <v>9.0800000000000018</v>
      </c>
      <c r="AS16" s="63"/>
    </row>
    <row r="17" spans="1:45" ht="21.95" customHeight="1" x14ac:dyDescent="0.15">
      <c r="A17" s="58" t="s">
        <v>369</v>
      </c>
      <c r="B17" s="59"/>
      <c r="C17" s="7" t="s">
        <v>131</v>
      </c>
      <c r="D17" s="60">
        <f>2.03*B17</f>
        <v>0</v>
      </c>
      <c r="E17" s="60">
        <f>4.84*B17</f>
        <v>0</v>
      </c>
      <c r="F17" s="60">
        <f>B17*692.74</f>
        <v>0</v>
      </c>
      <c r="G17" s="60">
        <v>0</v>
      </c>
      <c r="H17" s="60">
        <v>0</v>
      </c>
      <c r="I17" s="60">
        <f>B17*15</f>
        <v>0</v>
      </c>
      <c r="J17" s="60">
        <f>IF(AK17&lt;=4,B17*(213.9-15),B17*(274.7-15))</f>
        <v>0</v>
      </c>
      <c r="K17" s="60">
        <f>B17*9.71</f>
        <v>0</v>
      </c>
      <c r="L17" s="60">
        <f>B17*932.9</f>
        <v>0</v>
      </c>
      <c r="M17" s="60">
        <f>27.334*B17</f>
        <v>0</v>
      </c>
      <c r="N17" s="11">
        <f t="shared" si="0"/>
        <v>0</v>
      </c>
      <c r="O17" s="60">
        <f t="shared" si="1"/>
        <v>0</v>
      </c>
      <c r="P17" s="60">
        <f t="shared" si="2"/>
        <v>2.99</v>
      </c>
      <c r="Q17" s="60">
        <f t="shared" si="3"/>
        <v>0.98999999999999955</v>
      </c>
      <c r="R17" s="60">
        <f t="shared" si="4"/>
        <v>0</v>
      </c>
      <c r="S17" s="60">
        <f t="shared" si="5"/>
        <v>0</v>
      </c>
      <c r="T17" s="61">
        <f t="shared" si="6"/>
        <v>0</v>
      </c>
      <c r="U17" s="60">
        <f t="shared" si="7"/>
        <v>0</v>
      </c>
      <c r="V17" s="60">
        <f t="shared" si="8"/>
        <v>0</v>
      </c>
      <c r="W17" s="60">
        <f t="shared" si="9"/>
        <v>0</v>
      </c>
      <c r="X17" s="61">
        <f t="shared" si="10"/>
        <v>0</v>
      </c>
      <c r="Y17" s="60">
        <f>IF(AND(AM17&gt;=0.8,AM17&lt;=2),3.94*B17,4.27*B17)</f>
        <v>0</v>
      </c>
      <c r="Z17" s="60">
        <v>0</v>
      </c>
      <c r="AA17" s="60">
        <f>IF(AND(AM17&gt;=0.8,AM17&lt;=2),(((4.02*31*2+2.34)*1.578+2.51*0.888)*B17),((4.02*31*2+2.34)*1.998+2.51*0.888)*B17)</f>
        <v>0</v>
      </c>
      <c r="AB17" s="8">
        <f t="shared" si="11"/>
        <v>0</v>
      </c>
      <c r="AC17" s="8">
        <f t="shared" si="12"/>
        <v>0</v>
      </c>
      <c r="AD17" s="8">
        <f t="shared" si="13"/>
        <v>0</v>
      </c>
      <c r="AE17" s="8">
        <f t="shared" si="14"/>
        <v>0</v>
      </c>
      <c r="AF17" s="9">
        <f t="shared" si="15"/>
        <v>0</v>
      </c>
      <c r="AG17" s="7"/>
      <c r="AJ17" s="26"/>
      <c r="AK17" s="55">
        <v>4</v>
      </c>
      <c r="AL17" s="55">
        <v>0.24</v>
      </c>
      <c r="AM17" s="38">
        <f>IF(AK17+0.22-AO17-0.26&gt;=0.4,AK17+0.22-AO17-0.24,0.4)</f>
        <v>0.98999999999999955</v>
      </c>
      <c r="AN17" s="62">
        <f>IF(AND(AM17&gt;=0.8,AM17&lt;=2),0.24,0.26)</f>
        <v>0.24</v>
      </c>
      <c r="AO17" s="38">
        <v>2.99</v>
      </c>
      <c r="AP17" s="38">
        <f t="shared" si="16"/>
        <v>0.5</v>
      </c>
      <c r="AQ17" s="38">
        <v>2.64</v>
      </c>
      <c r="AR17" s="38">
        <f>(5.44*5.44-4.44*4.44)</f>
        <v>9.8800000000000026</v>
      </c>
      <c r="AS17" s="63"/>
    </row>
    <row r="18" spans="1:45" ht="21.95" customHeight="1" x14ac:dyDescent="0.15">
      <c r="A18" s="58" t="s">
        <v>369</v>
      </c>
      <c r="B18" s="59"/>
      <c r="C18" s="7" t="s">
        <v>132</v>
      </c>
      <c r="D18" s="60">
        <f>2.3*B18</f>
        <v>0</v>
      </c>
      <c r="E18" s="60">
        <f>5.52*B18</f>
        <v>0</v>
      </c>
      <c r="F18" s="60">
        <f>B18*885.6</f>
        <v>0</v>
      </c>
      <c r="G18" s="60">
        <v>0</v>
      </c>
      <c r="H18" s="60">
        <v>0</v>
      </c>
      <c r="I18" s="60">
        <f>B18*15</f>
        <v>0</v>
      </c>
      <c r="J18" s="60">
        <f>IF(AK18&lt;=4,B18*(213.9-15),B18*(274.7-15))</f>
        <v>0</v>
      </c>
      <c r="K18" s="60">
        <f>B18*11.15</f>
        <v>0</v>
      </c>
      <c r="L18" s="60">
        <f>B18*1481.88</f>
        <v>0</v>
      </c>
      <c r="M18" s="60">
        <f>34.82*B18</f>
        <v>0</v>
      </c>
      <c r="N18" s="11">
        <f t="shared" si="0"/>
        <v>0</v>
      </c>
      <c r="O18" s="60">
        <f t="shared" si="1"/>
        <v>0</v>
      </c>
      <c r="P18" s="60">
        <f t="shared" si="2"/>
        <v>3.23</v>
      </c>
      <c r="Q18" s="60">
        <f t="shared" si="3"/>
        <v>0.77000000000000024</v>
      </c>
      <c r="R18" s="60">
        <f t="shared" si="4"/>
        <v>0</v>
      </c>
      <c r="S18" s="60">
        <f t="shared" si="5"/>
        <v>0</v>
      </c>
      <c r="T18" s="61">
        <f t="shared" si="6"/>
        <v>0</v>
      </c>
      <c r="U18" s="60">
        <f t="shared" si="7"/>
        <v>0</v>
      </c>
      <c r="V18" s="60">
        <f t="shared" si="8"/>
        <v>0</v>
      </c>
      <c r="W18" s="60">
        <f t="shared" si="9"/>
        <v>0</v>
      </c>
      <c r="X18" s="61">
        <f t="shared" si="10"/>
        <v>0</v>
      </c>
      <c r="Y18" s="60">
        <f>IF(AND(AM18&gt;=0.8,AM18&lt;=2),4.56*B18,4.93*B18)</f>
        <v>0</v>
      </c>
      <c r="Z18" s="60">
        <v>0</v>
      </c>
      <c r="AA18" s="60">
        <f>IF(AND(AM18&gt;=0.8,AM18&lt;=2),(((4.32*34*2+2.51)*1.998+2.51*0.888)*B18),((4.32*34*2+2.34)*2.466+2.51*0.888)*B18)</f>
        <v>0</v>
      </c>
      <c r="AB18" s="8">
        <f t="shared" si="11"/>
        <v>0</v>
      </c>
      <c r="AC18" s="8">
        <f t="shared" si="12"/>
        <v>0</v>
      </c>
      <c r="AD18" s="8">
        <f t="shared" si="13"/>
        <v>0</v>
      </c>
      <c r="AE18" s="8">
        <f t="shared" si="14"/>
        <v>0</v>
      </c>
      <c r="AF18" s="9">
        <f t="shared" si="15"/>
        <v>0</v>
      </c>
      <c r="AG18" s="7"/>
      <c r="AJ18" s="26"/>
      <c r="AK18" s="55">
        <v>4</v>
      </c>
      <c r="AL18" s="55">
        <v>0.24</v>
      </c>
      <c r="AM18" s="38">
        <f>IF(AK18+0.24-AO18-0.26&gt;=0.4,AK18+0.24-AO18-0.24,0.4)</f>
        <v>0.77000000000000024</v>
      </c>
      <c r="AN18" s="62">
        <f>IF(AND(AM18&gt;=0.8,AM18&lt;=2),0.24,0.26)</f>
        <v>0.26</v>
      </c>
      <c r="AO18" s="38">
        <v>3.23</v>
      </c>
      <c r="AP18" s="38">
        <f t="shared" si="16"/>
        <v>0.5</v>
      </c>
      <c r="AQ18" s="38">
        <v>2.64</v>
      </c>
      <c r="AR18" s="38">
        <f>(5.74*5.74-4.74*4.74)</f>
        <v>10.48</v>
      </c>
      <c r="AS18" s="63"/>
    </row>
    <row r="19" spans="1:45" ht="21.95" customHeight="1" x14ac:dyDescent="0.15">
      <c r="A19" s="58" t="s">
        <v>27</v>
      </c>
      <c r="B19" s="59">
        <f>SUM(B10:B18)</f>
        <v>0</v>
      </c>
      <c r="C19" s="7" t="s">
        <v>82</v>
      </c>
      <c r="D19" s="60">
        <f t="shared" ref="D19:AF19" si="17">SUM(D10:D18)</f>
        <v>0</v>
      </c>
      <c r="E19" s="60">
        <f t="shared" si="17"/>
        <v>0</v>
      </c>
      <c r="F19" s="60">
        <f t="shared" si="17"/>
        <v>0</v>
      </c>
      <c r="G19" s="60">
        <f t="shared" si="17"/>
        <v>0</v>
      </c>
      <c r="H19" s="60">
        <f t="shared" si="17"/>
        <v>0</v>
      </c>
      <c r="I19" s="60">
        <f t="shared" si="17"/>
        <v>0</v>
      </c>
      <c r="J19" s="60">
        <f t="shared" si="17"/>
        <v>0</v>
      </c>
      <c r="K19" s="60">
        <f t="shared" si="17"/>
        <v>0</v>
      </c>
      <c r="L19" s="60">
        <f t="shared" si="17"/>
        <v>0</v>
      </c>
      <c r="M19" s="60">
        <f t="shared" si="17"/>
        <v>0</v>
      </c>
      <c r="N19" s="60">
        <f t="shared" si="17"/>
        <v>0</v>
      </c>
      <c r="O19" s="60">
        <f t="shared" si="17"/>
        <v>0</v>
      </c>
      <c r="P19" s="60">
        <f t="shared" si="17"/>
        <v>21.48</v>
      </c>
      <c r="Q19" s="60">
        <f t="shared" si="17"/>
        <v>14.65</v>
      </c>
      <c r="R19" s="60">
        <f t="shared" si="17"/>
        <v>0</v>
      </c>
      <c r="S19" s="60">
        <f t="shared" si="17"/>
        <v>0</v>
      </c>
      <c r="T19" s="61">
        <f t="shared" si="17"/>
        <v>0</v>
      </c>
      <c r="U19" s="60">
        <f t="shared" si="17"/>
        <v>0</v>
      </c>
      <c r="V19" s="60">
        <f t="shared" si="17"/>
        <v>0</v>
      </c>
      <c r="W19" s="60">
        <f t="shared" si="17"/>
        <v>0</v>
      </c>
      <c r="X19" s="61">
        <f t="shared" si="17"/>
        <v>0</v>
      </c>
      <c r="Y19" s="60">
        <f t="shared" si="17"/>
        <v>0</v>
      </c>
      <c r="Z19" s="60">
        <f t="shared" si="17"/>
        <v>0</v>
      </c>
      <c r="AA19" s="60">
        <f t="shared" si="17"/>
        <v>0</v>
      </c>
      <c r="AB19" s="8">
        <f t="shared" si="17"/>
        <v>0</v>
      </c>
      <c r="AC19" s="8">
        <f t="shared" si="17"/>
        <v>0</v>
      </c>
      <c r="AD19" s="8">
        <f t="shared" si="17"/>
        <v>0</v>
      </c>
      <c r="AE19" s="8">
        <f t="shared" si="17"/>
        <v>0</v>
      </c>
      <c r="AF19" s="9">
        <f t="shared" si="17"/>
        <v>0</v>
      </c>
      <c r="AG19" s="7"/>
      <c r="AJ19" s="26"/>
      <c r="AK19" s="55"/>
      <c r="AL19" s="55"/>
      <c r="AM19" s="38"/>
      <c r="AN19" s="62"/>
      <c r="AO19" s="38"/>
      <c r="AP19" s="38"/>
      <c r="AQ19" s="38"/>
      <c r="AR19" s="38"/>
      <c r="AS19" s="63"/>
    </row>
    <row r="20" spans="1:45" ht="21.95" hidden="1" customHeight="1" x14ac:dyDescent="0.15">
      <c r="A20" s="383" t="s">
        <v>157</v>
      </c>
      <c r="B20" s="383"/>
      <c r="C20" s="383"/>
      <c r="D20" s="383"/>
      <c r="E20" s="383"/>
      <c r="F20" s="383"/>
      <c r="G20" s="383"/>
      <c r="H20" s="383"/>
      <c r="I20" s="383"/>
      <c r="J20" s="383"/>
      <c r="K20" s="383"/>
      <c r="L20" s="383"/>
      <c r="M20" s="383"/>
      <c r="N20" s="383"/>
      <c r="O20" s="383"/>
      <c r="P20" s="383"/>
      <c r="Q20" s="383"/>
      <c r="R20" s="383"/>
      <c r="S20" s="383"/>
      <c r="T20" s="383"/>
      <c r="U20" s="383"/>
      <c r="V20" s="383"/>
      <c r="W20" s="383"/>
      <c r="X20" s="383"/>
      <c r="Y20" s="383"/>
      <c r="Z20" s="383"/>
      <c r="AA20" s="383"/>
      <c r="AB20" s="383"/>
      <c r="AC20" s="383"/>
      <c r="AD20" s="383"/>
      <c r="AE20" s="383"/>
      <c r="AF20" s="383"/>
      <c r="AG20" s="383"/>
      <c r="AK20" s="53" t="s">
        <v>73</v>
      </c>
      <c r="AL20" s="55" t="s">
        <v>74</v>
      </c>
      <c r="AM20" s="43" t="s">
        <v>75</v>
      </c>
      <c r="AN20" s="56" t="s">
        <v>101</v>
      </c>
      <c r="AO20" s="43" t="s">
        <v>76</v>
      </c>
      <c r="AP20" s="43" t="s">
        <v>77</v>
      </c>
      <c r="AQ20" s="43" t="s">
        <v>78</v>
      </c>
      <c r="AR20" s="57" t="s">
        <v>79</v>
      </c>
      <c r="AS20" s="40"/>
    </row>
    <row r="21" spans="1:45" ht="21.95" hidden="1" customHeight="1" x14ac:dyDescent="0.15">
      <c r="A21" s="58" t="s">
        <v>108</v>
      </c>
      <c r="B21" s="59"/>
      <c r="C21" s="7" t="s">
        <v>124</v>
      </c>
      <c r="D21" s="60">
        <f>0.58*B21</f>
        <v>0</v>
      </c>
      <c r="E21" s="60">
        <f>B21*1.32</f>
        <v>0</v>
      </c>
      <c r="F21" s="60">
        <f>B21*128.72</f>
        <v>0</v>
      </c>
      <c r="G21" s="60">
        <v>0</v>
      </c>
      <c r="H21" s="60">
        <v>0</v>
      </c>
      <c r="I21" s="60">
        <f>B21*7.6</f>
        <v>0</v>
      </c>
      <c r="J21" s="60">
        <f>IF(AK21&lt;=4,B21*(98.1-7.6),B21*(131.6-7.6))</f>
        <v>0</v>
      </c>
      <c r="K21" s="60">
        <f>B21*2.51</f>
        <v>0</v>
      </c>
      <c r="L21" s="60">
        <f>B21*415.26</f>
        <v>0</v>
      </c>
      <c r="M21" s="60">
        <f>2.04*B21</f>
        <v>0</v>
      </c>
      <c r="N21" s="11">
        <f t="shared" ref="N21:N29" si="18">0.4*B21*AM21</f>
        <v>0</v>
      </c>
      <c r="O21" s="60">
        <f t="shared" ref="O21:O29" si="19">0.71*B21*AM21</f>
        <v>0</v>
      </c>
      <c r="P21" s="60">
        <f t="shared" ref="P21:P29" si="20">AO21</f>
        <v>1.9</v>
      </c>
      <c r="Q21" s="60">
        <f t="shared" ref="Q21:Q29" si="21">AM21</f>
        <v>2.0599999999999996</v>
      </c>
      <c r="R21" s="60">
        <f t="shared" ref="R21:R29" si="22">0.253*0.1*B21</f>
        <v>0</v>
      </c>
      <c r="S21" s="60">
        <f t="shared" ref="S21:S29" si="23">2.53*0.395*B21</f>
        <v>0</v>
      </c>
      <c r="T21" s="61">
        <f t="shared" ref="T21:T29" si="24">B21</f>
        <v>0</v>
      </c>
      <c r="U21" s="60">
        <f>0.167*B21</f>
        <v>0</v>
      </c>
      <c r="V21" s="60">
        <f>5.14*B21</f>
        <v>0</v>
      </c>
      <c r="W21" s="60">
        <f>(31.2-5.14)*B21</f>
        <v>0</v>
      </c>
      <c r="X21" s="61">
        <f t="shared" ref="X21:X29" si="25">B21</f>
        <v>0</v>
      </c>
      <c r="Y21" s="60">
        <f>IF(AND(AM21&gt;=0.8,AM21&lt;=2),0.54*B21,0.62*B21)</f>
        <v>0</v>
      </c>
      <c r="Z21" s="60">
        <v>0</v>
      </c>
      <c r="AA21" s="60">
        <f>IF(AND(AM21&gt;=0.8,AM21&lt;=2),(((1.98*14*2+2.28)*1.208+2.51*0.888)*B21),(((1.98*14*2+2.28)*1.578+2.51*0.888)*B21))</f>
        <v>0</v>
      </c>
      <c r="AB21" s="8">
        <f t="shared" ref="AB21:AB29" si="26">AK21/0.36*B21</f>
        <v>0</v>
      </c>
      <c r="AC21" s="8">
        <f t="shared" ref="AC21:AC29" si="27">B21*1</f>
        <v>0</v>
      </c>
      <c r="AD21" s="8">
        <f t="shared" ref="AD21:AD29" si="28">AC21</f>
        <v>0</v>
      </c>
      <c r="AE21" s="8">
        <f t="shared" ref="AE21:AE29" si="29">8*B21</f>
        <v>0</v>
      </c>
      <c r="AF21" s="9">
        <f t="shared" ref="AF21:AF29" si="30">IF(AM21&gt;=AL21,((AM21-AL21)*AQ21+AP21*AR21)*B21,((AP21+AM21-AL21)*AR21)*B21)</f>
        <v>0</v>
      </c>
      <c r="AG21" s="7"/>
      <c r="AJ21" s="26"/>
      <c r="AK21" s="55">
        <v>4</v>
      </c>
      <c r="AL21" s="55">
        <v>0.24</v>
      </c>
      <c r="AM21" s="38">
        <f>IF(AK21+0.1-AO21-0.16&gt;=0.4,AK21+0.1-AO21-0.14,0.4)</f>
        <v>2.0599999999999996</v>
      </c>
      <c r="AN21" s="62">
        <f>IF(AND(AM21&gt;=0.8,AM21&lt;=2),0.14,0.16)</f>
        <v>0.16</v>
      </c>
      <c r="AO21" s="38">
        <v>1.9</v>
      </c>
      <c r="AP21" s="38">
        <f>AK21-AM21-1-0.1</f>
        <v>0.84000000000000041</v>
      </c>
      <c r="AQ21" s="38">
        <v>2.64</v>
      </c>
      <c r="AR21" s="38">
        <f>(3.68*3.68-2.68*2.68)</f>
        <v>6.3599999999999994</v>
      </c>
      <c r="AS21" s="63"/>
    </row>
    <row r="22" spans="1:45" ht="21.95" hidden="1" customHeight="1" x14ac:dyDescent="0.15">
      <c r="A22" s="58" t="s">
        <v>108</v>
      </c>
      <c r="B22" s="59"/>
      <c r="C22" s="7" t="s">
        <v>125</v>
      </c>
      <c r="D22" s="60">
        <f>0.78*B22</f>
        <v>0</v>
      </c>
      <c r="E22" s="60">
        <f>B22*1.82</f>
        <v>0</v>
      </c>
      <c r="F22" s="60">
        <f>B22*177.24</f>
        <v>0</v>
      </c>
      <c r="G22" s="60">
        <v>0</v>
      </c>
      <c r="H22" s="60">
        <v>0</v>
      </c>
      <c r="I22" s="60">
        <f>B22*9.1</f>
        <v>0</v>
      </c>
      <c r="J22" s="60">
        <f>IF(AK22&lt;=4,B22*(107.2-9.1),B22*(142.8-9.1))</f>
        <v>0</v>
      </c>
      <c r="K22" s="60">
        <f>B22*3.03</f>
        <v>0</v>
      </c>
      <c r="L22" s="60">
        <f>B22*496.44</f>
        <v>0</v>
      </c>
      <c r="M22" s="60">
        <f>4.04*B22</f>
        <v>0</v>
      </c>
      <c r="N22" s="11">
        <f t="shared" si="18"/>
        <v>0</v>
      </c>
      <c r="O22" s="60">
        <f t="shared" si="19"/>
        <v>0</v>
      </c>
      <c r="P22" s="60">
        <f t="shared" si="20"/>
        <v>1.92</v>
      </c>
      <c r="Q22" s="60">
        <f t="shared" si="21"/>
        <v>2.04</v>
      </c>
      <c r="R22" s="60">
        <f t="shared" si="22"/>
        <v>0</v>
      </c>
      <c r="S22" s="60">
        <f t="shared" si="23"/>
        <v>0</v>
      </c>
      <c r="T22" s="61">
        <f t="shared" si="24"/>
        <v>0</v>
      </c>
      <c r="U22" s="60">
        <f>0.167*B22</f>
        <v>0</v>
      </c>
      <c r="V22" s="60">
        <f>5.14*B22</f>
        <v>0</v>
      </c>
      <c r="W22" s="60">
        <f>(31.2-5.14)*B22</f>
        <v>0</v>
      </c>
      <c r="X22" s="61">
        <f t="shared" si="25"/>
        <v>0</v>
      </c>
      <c r="Y22" s="60">
        <f>IF(AND(AM22&gt;=0.8,AM22&lt;=2),0.91*B22,1.02*B22)</f>
        <v>0</v>
      </c>
      <c r="Z22" s="60">
        <v>0</v>
      </c>
      <c r="AA22" s="60">
        <f>IF(AND(AM22&gt;=0.8,AM22&lt;=2),(((2.3817*2+2.28)*1.208+2.51*0.888)*B22),(((2.38*17*2+2.28)*1.578+2.51*0.888)*B22))</f>
        <v>0</v>
      </c>
      <c r="AB22" s="8">
        <f t="shared" si="26"/>
        <v>0</v>
      </c>
      <c r="AC22" s="8">
        <f t="shared" si="27"/>
        <v>0</v>
      </c>
      <c r="AD22" s="8">
        <f t="shared" si="28"/>
        <v>0</v>
      </c>
      <c r="AE22" s="8">
        <f t="shared" si="29"/>
        <v>0</v>
      </c>
      <c r="AF22" s="9">
        <f t="shared" si="30"/>
        <v>0</v>
      </c>
      <c r="AG22" s="7"/>
      <c r="AJ22" s="26"/>
      <c r="AK22" s="55">
        <v>4</v>
      </c>
      <c r="AL22" s="55">
        <v>0.24</v>
      </c>
      <c r="AM22" s="38">
        <f>IF(AK22+0.12-AO22-0.18&gt;=0.4,AK22+0.12-AO22-0.16,0.4)</f>
        <v>2.04</v>
      </c>
      <c r="AN22" s="62">
        <f>IF(AND(AM22&gt;=0.8,AM22&lt;=2),0.16,0.18)</f>
        <v>0.18</v>
      </c>
      <c r="AO22" s="38">
        <v>1.92</v>
      </c>
      <c r="AP22" s="38">
        <f>AK22-AM22-1.2-0.12</f>
        <v>0.64</v>
      </c>
      <c r="AQ22" s="38">
        <v>2.64</v>
      </c>
      <c r="AR22" s="38">
        <f>(4.08*4.08-3.08*3.08)</f>
        <v>7.16</v>
      </c>
      <c r="AS22" s="63"/>
    </row>
    <row r="23" spans="1:45" ht="21.95" hidden="1" customHeight="1" x14ac:dyDescent="0.15">
      <c r="A23" s="58" t="s">
        <v>108</v>
      </c>
      <c r="B23" s="59"/>
      <c r="C23" s="7" t="s">
        <v>126</v>
      </c>
      <c r="D23" s="60">
        <f>0.96*B23</f>
        <v>0</v>
      </c>
      <c r="E23" s="60">
        <f>B23*2.25</f>
        <v>0</v>
      </c>
      <c r="F23" s="60">
        <f>B23*225.75</f>
        <v>0</v>
      </c>
      <c r="G23" s="60">
        <v>0</v>
      </c>
      <c r="H23" s="60">
        <v>0</v>
      </c>
      <c r="I23" s="60">
        <f>B23*10</f>
        <v>0</v>
      </c>
      <c r="J23" s="60">
        <f>IF(AK23&lt;=4,B23*(115.8-10),B23*(154.2-10))</f>
        <v>0</v>
      </c>
      <c r="K23" s="60">
        <f>B23*3.3</f>
        <v>0</v>
      </c>
      <c r="L23" s="60">
        <f>B23*568.73</f>
        <v>0</v>
      </c>
      <c r="M23" s="60">
        <f>6.84*B23</f>
        <v>0</v>
      </c>
      <c r="N23" s="11">
        <f t="shared" si="18"/>
        <v>0</v>
      </c>
      <c r="O23" s="60">
        <f t="shared" si="19"/>
        <v>0</v>
      </c>
      <c r="P23" s="60">
        <f t="shared" si="20"/>
        <v>1.94</v>
      </c>
      <c r="Q23" s="60">
        <f t="shared" si="21"/>
        <v>2.0149999999999997</v>
      </c>
      <c r="R23" s="60">
        <f t="shared" si="22"/>
        <v>0</v>
      </c>
      <c r="S23" s="60">
        <f t="shared" si="23"/>
        <v>0</v>
      </c>
      <c r="T23" s="61">
        <f t="shared" si="24"/>
        <v>0</v>
      </c>
      <c r="U23" s="60">
        <f>0.167*B23</f>
        <v>0</v>
      </c>
      <c r="V23" s="60">
        <f>5.14*B23</f>
        <v>0</v>
      </c>
      <c r="W23" s="60">
        <f>(31.2-5.14)*B23</f>
        <v>0</v>
      </c>
      <c r="X23" s="61">
        <f t="shared" si="25"/>
        <v>0</v>
      </c>
      <c r="Y23" s="60">
        <f>IF(AND(AM23&gt;=0.8,AM23&lt;=2),1.34*B23,1.49*B23)</f>
        <v>0</v>
      </c>
      <c r="Z23" s="60">
        <v>0</v>
      </c>
      <c r="AA23" s="60">
        <f>IF(AND(AM23&gt;=0.8,AM23&lt;=2),(((2.72*19*2+2.34)*1.208+2.51*0.888)*B23),(((2.72*19*2+2.34)*1.578+2.51*0.888)*B23))</f>
        <v>0</v>
      </c>
      <c r="AB23" s="8">
        <f t="shared" si="26"/>
        <v>0</v>
      </c>
      <c r="AC23" s="8">
        <f t="shared" si="27"/>
        <v>0</v>
      </c>
      <c r="AD23" s="8">
        <f t="shared" si="28"/>
        <v>0</v>
      </c>
      <c r="AE23" s="8">
        <f t="shared" si="29"/>
        <v>0</v>
      </c>
      <c r="AF23" s="9">
        <f t="shared" si="30"/>
        <v>0</v>
      </c>
      <c r="AG23" s="7"/>
      <c r="AJ23" s="26"/>
      <c r="AK23" s="55">
        <v>4</v>
      </c>
      <c r="AL23" s="55">
        <v>0.24</v>
      </c>
      <c r="AM23" s="38">
        <f>IF(AK23+0.135-AO23-0.2&gt;=0.4,AK23+0.135-AO23-0.18,0.4)</f>
        <v>2.0149999999999997</v>
      </c>
      <c r="AN23" s="62">
        <f>IF(AND(AM23&gt;=0.8,AM23&lt;=2),0.18,0.2)</f>
        <v>0.2</v>
      </c>
      <c r="AO23" s="38">
        <v>1.94</v>
      </c>
      <c r="AP23" s="38">
        <f>AK23-AM23-1.35-0.135</f>
        <v>0.50000000000000022</v>
      </c>
      <c r="AQ23" s="38">
        <v>2.64</v>
      </c>
      <c r="AR23" s="38">
        <f>(4.38*4.38-3.38*3.38)</f>
        <v>7.7600000000000016</v>
      </c>
      <c r="AS23" s="63"/>
    </row>
    <row r="24" spans="1:45" ht="21.95" hidden="1" customHeight="1" x14ac:dyDescent="0.15">
      <c r="A24" s="58" t="s">
        <v>108</v>
      </c>
      <c r="B24" s="59"/>
      <c r="C24" s="7" t="s">
        <v>127</v>
      </c>
      <c r="D24" s="60">
        <f>1.23*B24</f>
        <v>0</v>
      </c>
      <c r="E24" s="60">
        <f>B24*2.89</f>
        <v>0</v>
      </c>
      <c r="F24" s="60">
        <f>B24*457.81</f>
        <v>0</v>
      </c>
      <c r="G24" s="60">
        <v>0</v>
      </c>
      <c r="H24" s="60">
        <v>0</v>
      </c>
      <c r="I24" s="60">
        <f>B24*11.7</f>
        <v>0</v>
      </c>
      <c r="J24" s="60">
        <f>IF(AK24&lt;=4,B24*(123.2-11.7),B24*(163.7-11.7))</f>
        <v>0</v>
      </c>
      <c r="K24" s="60">
        <f>B24*5.26</f>
        <v>0</v>
      </c>
      <c r="L24" s="60">
        <f>B24*716.1</f>
        <v>0</v>
      </c>
      <c r="M24" s="60">
        <f>10.264*B24</f>
        <v>0</v>
      </c>
      <c r="N24" s="11">
        <f t="shared" si="18"/>
        <v>0</v>
      </c>
      <c r="O24" s="60">
        <f t="shared" si="19"/>
        <v>0</v>
      </c>
      <c r="P24" s="60">
        <f t="shared" si="20"/>
        <v>2.17</v>
      </c>
      <c r="Q24" s="60">
        <f t="shared" si="21"/>
        <v>1.28</v>
      </c>
      <c r="R24" s="60">
        <f t="shared" si="22"/>
        <v>0</v>
      </c>
      <c r="S24" s="60">
        <f t="shared" si="23"/>
        <v>0</v>
      </c>
      <c r="T24" s="61">
        <f t="shared" si="24"/>
        <v>0</v>
      </c>
      <c r="U24" s="60">
        <f>0.1*B24</f>
        <v>0</v>
      </c>
      <c r="V24" s="60">
        <f>4.83*B24</f>
        <v>0</v>
      </c>
      <c r="W24" s="60">
        <f>(21.38-4.83)*B24</f>
        <v>0</v>
      </c>
      <c r="X24" s="61">
        <f t="shared" si="25"/>
        <v>0</v>
      </c>
      <c r="Y24" s="60">
        <f>IF(AND(AM24&gt;=0.8,AM24&lt;=2),1.85*B24,2.03*B24)</f>
        <v>0</v>
      </c>
      <c r="Z24" s="60">
        <v>0</v>
      </c>
      <c r="AA24" s="60">
        <f>IF(AND(AM24&gt;=0.8,AM24&lt;=2),(((3.02*21*2+2.34)*1.208+2.51*0.888)*B24),(((3.02*21*2+2.34)*1.578+2.51*0.888)*B24))</f>
        <v>0</v>
      </c>
      <c r="AB24" s="8">
        <f t="shared" si="26"/>
        <v>0</v>
      </c>
      <c r="AC24" s="8">
        <f t="shared" si="27"/>
        <v>0</v>
      </c>
      <c r="AD24" s="8">
        <f t="shared" si="28"/>
        <v>0</v>
      </c>
      <c r="AE24" s="8">
        <f t="shared" si="29"/>
        <v>0</v>
      </c>
      <c r="AF24" s="9">
        <f t="shared" si="30"/>
        <v>0</v>
      </c>
      <c r="AG24" s="7"/>
      <c r="AJ24" s="26"/>
      <c r="AK24" s="55">
        <v>3.5</v>
      </c>
      <c r="AL24" s="55">
        <v>0.24</v>
      </c>
      <c r="AM24" s="38">
        <f>IF(AK24+0.15-AO24-0.22&gt;=0.4,AK24+0.15-AO24-0.2,0.4)</f>
        <v>1.28</v>
      </c>
      <c r="AN24" s="62">
        <f>IF(AND(AM24&gt;=0.8,AM24&lt;=2),0.2,0.22)</f>
        <v>0.2</v>
      </c>
      <c r="AO24" s="38">
        <v>2.17</v>
      </c>
      <c r="AP24" s="38">
        <f>AK24-AM24-1.5-0.15</f>
        <v>0.56999999999999973</v>
      </c>
      <c r="AQ24" s="38">
        <v>2.64</v>
      </c>
      <c r="AR24" s="38">
        <f>(4.68*4.68-3.68*3.68)</f>
        <v>8.3599999999999959</v>
      </c>
      <c r="AS24" s="63"/>
    </row>
    <row r="25" spans="1:45" ht="21.95" hidden="1" customHeight="1" x14ac:dyDescent="0.15">
      <c r="A25" s="58" t="s">
        <v>108</v>
      </c>
      <c r="B25" s="59"/>
      <c r="C25" s="7" t="s">
        <v>128</v>
      </c>
      <c r="D25" s="60">
        <f>1.23*B25</f>
        <v>0</v>
      </c>
      <c r="E25" s="60">
        <f>B25*2.89</f>
        <v>0</v>
      </c>
      <c r="F25" s="60">
        <f>B25*457.81</f>
        <v>0</v>
      </c>
      <c r="G25" s="60">
        <v>0</v>
      </c>
      <c r="H25" s="60">
        <v>0</v>
      </c>
      <c r="I25" s="60">
        <f>B25*11.7</f>
        <v>0</v>
      </c>
      <c r="J25" s="60">
        <f>IF(AK25&lt;=4,B25*(130.9-11.7),B25*(174.1-11.7))</f>
        <v>0</v>
      </c>
      <c r="K25" s="60">
        <f>B25*5.26</f>
        <v>0</v>
      </c>
      <c r="L25" s="60">
        <f>B25*716.1</f>
        <v>0</v>
      </c>
      <c r="M25" s="60">
        <f>10.264*B25</f>
        <v>0</v>
      </c>
      <c r="N25" s="11">
        <f t="shared" si="18"/>
        <v>0</v>
      </c>
      <c r="O25" s="60">
        <f t="shared" si="19"/>
        <v>0</v>
      </c>
      <c r="P25" s="60">
        <f t="shared" si="20"/>
        <v>2.17</v>
      </c>
      <c r="Q25" s="60">
        <f t="shared" si="21"/>
        <v>1.7950000000000002</v>
      </c>
      <c r="R25" s="60">
        <f t="shared" si="22"/>
        <v>0</v>
      </c>
      <c r="S25" s="60">
        <f t="shared" si="23"/>
        <v>0</v>
      </c>
      <c r="T25" s="61">
        <f t="shared" si="24"/>
        <v>0</v>
      </c>
      <c r="U25" s="60">
        <f>0.167*B25</f>
        <v>0</v>
      </c>
      <c r="V25" s="60">
        <f>5.14*B25</f>
        <v>0</v>
      </c>
      <c r="W25" s="60">
        <f>(31.2-5.14)*B25</f>
        <v>0</v>
      </c>
      <c r="X25" s="61">
        <f t="shared" si="25"/>
        <v>0</v>
      </c>
      <c r="Y25" s="60">
        <f>IF(AND(AM25&gt;=0.8,AM25&lt;=2),1.85*B25,2.03*B25)</f>
        <v>0</v>
      </c>
      <c r="Z25" s="60">
        <v>0</v>
      </c>
      <c r="AA25" s="60">
        <f>IF(AND(AM25&gt;=0.8,AM25&lt;=2),(((3.02*21*2+2.34)*1.208+2.51*0.888)*B25),(((3.02*21*2+2.34)*1.578+2.51*0.888)*B25))</f>
        <v>0</v>
      </c>
      <c r="AB25" s="8">
        <f t="shared" si="26"/>
        <v>0</v>
      </c>
      <c r="AC25" s="8">
        <f t="shared" si="27"/>
        <v>0</v>
      </c>
      <c r="AD25" s="8">
        <f t="shared" si="28"/>
        <v>0</v>
      </c>
      <c r="AE25" s="8">
        <f t="shared" si="29"/>
        <v>0</v>
      </c>
      <c r="AF25" s="9">
        <f t="shared" si="30"/>
        <v>0</v>
      </c>
      <c r="AG25" s="7"/>
      <c r="AJ25" s="26"/>
      <c r="AK25" s="55">
        <v>4</v>
      </c>
      <c r="AL25" s="55">
        <v>0.24</v>
      </c>
      <c r="AM25" s="38">
        <f>IF(AK25+0.165-AO25-0.22&gt;=0.4,AK25+0.165-AO25-0.2,0.4)</f>
        <v>1.7950000000000002</v>
      </c>
      <c r="AN25" s="62">
        <f>IF(AND(AM25&gt;=0.8,AM25&lt;=2),0.2,0.22)</f>
        <v>0.2</v>
      </c>
      <c r="AO25" s="38">
        <v>2.17</v>
      </c>
      <c r="AP25" s="38">
        <f>0.36+0.14</f>
        <v>0.5</v>
      </c>
      <c r="AQ25" s="38">
        <v>2.64</v>
      </c>
      <c r="AR25" s="38">
        <f>(4.68*4.68-3.68*3.68)</f>
        <v>8.3599999999999959</v>
      </c>
      <c r="AS25" s="63"/>
    </row>
    <row r="26" spans="1:45" ht="21.95" hidden="1" customHeight="1" x14ac:dyDescent="0.15">
      <c r="A26" s="58" t="s">
        <v>108</v>
      </c>
      <c r="B26" s="59"/>
      <c r="C26" s="7" t="s">
        <v>129</v>
      </c>
      <c r="D26" s="60">
        <f>1.44*B26</f>
        <v>0</v>
      </c>
      <c r="E26" s="60">
        <f>3.42*B26</f>
        <v>0</v>
      </c>
      <c r="F26" s="60">
        <f>B26*545.1</f>
        <v>0</v>
      </c>
      <c r="G26" s="60">
        <v>0</v>
      </c>
      <c r="H26" s="60">
        <v>0</v>
      </c>
      <c r="I26" s="60">
        <f>B26*13.3</f>
        <v>0</v>
      </c>
      <c r="J26" s="60">
        <f>IF(AK26&lt;=4,B26*(140.2-13.3),B26*(186.3-13.3))</f>
        <v>0</v>
      </c>
      <c r="K26" s="60">
        <f>B26*6.5</f>
        <v>0</v>
      </c>
      <c r="L26" s="60">
        <f>B26*878.46</f>
        <v>0</v>
      </c>
      <c r="M26" s="60">
        <f>14.614*B26</f>
        <v>0</v>
      </c>
      <c r="N26" s="11">
        <f t="shared" si="18"/>
        <v>0</v>
      </c>
      <c r="O26" s="60">
        <f t="shared" si="19"/>
        <v>0</v>
      </c>
      <c r="P26" s="60">
        <f t="shared" si="20"/>
        <v>2.41</v>
      </c>
      <c r="Q26" s="60">
        <f t="shared" si="21"/>
        <v>1.5699999999999996</v>
      </c>
      <c r="R26" s="60">
        <f t="shared" si="22"/>
        <v>0</v>
      </c>
      <c r="S26" s="60">
        <f t="shared" si="23"/>
        <v>0</v>
      </c>
      <c r="T26" s="61">
        <f t="shared" si="24"/>
        <v>0</v>
      </c>
      <c r="U26" s="60">
        <f>0.167*B26</f>
        <v>0</v>
      </c>
      <c r="V26" s="60">
        <f>5.14*B26</f>
        <v>0</v>
      </c>
      <c r="W26" s="60">
        <f>(31.2-5.14)*B26</f>
        <v>0</v>
      </c>
      <c r="X26" s="61">
        <f t="shared" si="25"/>
        <v>0</v>
      </c>
      <c r="Y26" s="60">
        <f>IF(AND(AM26&gt;=0.8,AM26&lt;=2),2.24*B26,2.46*B26)</f>
        <v>0</v>
      </c>
      <c r="Z26" s="60">
        <v>0</v>
      </c>
      <c r="AA26" s="60">
        <f>IF(AND(AM26&gt;=0.8,AM26&lt;=2),(((3.32*23*2+2.34)*1.578+2.51*0.888)*B26),((3.32*23*2+2.34)*1.998+2.51*0.888)*B26)</f>
        <v>0</v>
      </c>
      <c r="AB26" s="8">
        <f t="shared" si="26"/>
        <v>0</v>
      </c>
      <c r="AC26" s="8">
        <f t="shared" si="27"/>
        <v>0</v>
      </c>
      <c r="AD26" s="8">
        <f t="shared" si="28"/>
        <v>0</v>
      </c>
      <c r="AE26" s="8">
        <f t="shared" si="29"/>
        <v>0</v>
      </c>
      <c r="AF26" s="9">
        <f t="shared" si="30"/>
        <v>0</v>
      </c>
      <c r="AG26" s="7"/>
      <c r="AJ26" s="26"/>
      <c r="AK26" s="55">
        <v>4</v>
      </c>
      <c r="AL26" s="55">
        <v>0.24</v>
      </c>
      <c r="AM26" s="38">
        <f>IF(AK26+0.18-AO26-0.22&gt;=0.4,AK26+0.18-AO26-0.2,0.4)</f>
        <v>1.5699999999999996</v>
      </c>
      <c r="AN26" s="62">
        <f>IF(AND(AM26&gt;=0.8,AM26&lt;=2),0.2,0.22)</f>
        <v>0.2</v>
      </c>
      <c r="AO26" s="38">
        <v>2.41</v>
      </c>
      <c r="AP26" s="38">
        <f t="shared" ref="AP26:AP29" si="31">0.36+0.14</f>
        <v>0.5</v>
      </c>
      <c r="AQ26" s="38">
        <v>2.64</v>
      </c>
      <c r="AR26" s="38">
        <f>(4.98*4.98-3.98*3.98)</f>
        <v>8.9600000000000026</v>
      </c>
      <c r="AS26" s="63"/>
    </row>
    <row r="27" spans="1:45" ht="21.95" hidden="1" customHeight="1" x14ac:dyDescent="0.15">
      <c r="A27" s="58" t="s">
        <v>108</v>
      </c>
      <c r="B27" s="59"/>
      <c r="C27" s="7" t="s">
        <v>130</v>
      </c>
      <c r="D27" s="60">
        <f>1.68*B27</f>
        <v>0</v>
      </c>
      <c r="E27" s="60">
        <f>4.8*B27</f>
        <v>0</v>
      </c>
      <c r="F27" s="60">
        <f>B27*638.92</f>
        <v>0</v>
      </c>
      <c r="G27" s="60">
        <v>0</v>
      </c>
      <c r="H27" s="60">
        <v>0</v>
      </c>
      <c r="I27" s="60">
        <f>B27*15</f>
        <v>0</v>
      </c>
      <c r="J27" s="60">
        <f>IF(AK27&lt;=4,B27*(213.9-15),B27*(274.7-15))</f>
        <v>0</v>
      </c>
      <c r="K27" s="60">
        <f>B27*8.04</f>
        <v>0</v>
      </c>
      <c r="L27" s="60">
        <f>B27*1077.34</f>
        <v>0</v>
      </c>
      <c r="M27" s="60">
        <f>19.644*B27</f>
        <v>0</v>
      </c>
      <c r="N27" s="11">
        <f t="shared" si="18"/>
        <v>0</v>
      </c>
      <c r="O27" s="60">
        <f t="shared" si="19"/>
        <v>0</v>
      </c>
      <c r="P27" s="60">
        <f t="shared" si="20"/>
        <v>2.75</v>
      </c>
      <c r="Q27" s="60">
        <f t="shared" si="21"/>
        <v>1.2300000000000002</v>
      </c>
      <c r="R27" s="60">
        <f t="shared" si="22"/>
        <v>0</v>
      </c>
      <c r="S27" s="60">
        <f t="shared" si="23"/>
        <v>0</v>
      </c>
      <c r="T27" s="61">
        <f t="shared" si="24"/>
        <v>0</v>
      </c>
      <c r="U27" s="60">
        <f>0.167*B27</f>
        <v>0</v>
      </c>
      <c r="V27" s="60">
        <f>5.14*B27</f>
        <v>0</v>
      </c>
      <c r="W27" s="60">
        <f>(31.2-5.14)*B27</f>
        <v>0</v>
      </c>
      <c r="X27" s="61">
        <f t="shared" si="25"/>
        <v>0</v>
      </c>
      <c r="Y27" s="60">
        <f>IF(AND(AM27&gt;=0.8,AM27&lt;=2),2.93*B27,3.19*B27)</f>
        <v>0</v>
      </c>
      <c r="Z27" s="60">
        <v>0</v>
      </c>
      <c r="AA27" s="60">
        <f>IF(AND(AM27&gt;=0.8,AM27&lt;=2),(((3.62*27*2+2.34)*1.578+2.51*0.888)*B27),((3.62*27*2+2.34)*1.998+2.51*0.888)*B27)</f>
        <v>0</v>
      </c>
      <c r="AB27" s="8">
        <f t="shared" si="26"/>
        <v>0</v>
      </c>
      <c r="AC27" s="8">
        <f t="shared" si="27"/>
        <v>0</v>
      </c>
      <c r="AD27" s="8">
        <f t="shared" si="28"/>
        <v>0</v>
      </c>
      <c r="AE27" s="8">
        <f t="shared" si="29"/>
        <v>0</v>
      </c>
      <c r="AF27" s="9">
        <f t="shared" si="30"/>
        <v>0</v>
      </c>
      <c r="AG27" s="7"/>
      <c r="AJ27" s="26"/>
      <c r="AK27" s="55">
        <v>4</v>
      </c>
      <c r="AL27" s="55">
        <v>0.24</v>
      </c>
      <c r="AM27" s="38">
        <f>IF(AK27+0.2-AO27-0.24&gt;=0.4,AK27+0.2-AO27-0.22,0.4)</f>
        <v>1.2300000000000002</v>
      </c>
      <c r="AN27" s="62">
        <f>IF(AND(AM27&gt;=0.8,AM27&lt;=2),0.22,0.24)</f>
        <v>0.22</v>
      </c>
      <c r="AO27" s="38">
        <v>2.75</v>
      </c>
      <c r="AP27" s="38">
        <f t="shared" si="31"/>
        <v>0.5</v>
      </c>
      <c r="AQ27" s="38">
        <v>2.64</v>
      </c>
      <c r="AR27" s="38">
        <f>(5.28*5.28-4.28*4.28)</f>
        <v>9.5600000000000023</v>
      </c>
      <c r="AS27" s="63"/>
    </row>
    <row r="28" spans="1:45" ht="21.95" hidden="1" customHeight="1" x14ac:dyDescent="0.15">
      <c r="A28" s="58" t="s">
        <v>108</v>
      </c>
      <c r="B28" s="59"/>
      <c r="C28" s="7" t="s">
        <v>131</v>
      </c>
      <c r="D28" s="60">
        <f>2.03*B28</f>
        <v>0</v>
      </c>
      <c r="E28" s="60">
        <f>5.81*B28</f>
        <v>0</v>
      </c>
      <c r="F28" s="60">
        <f>B28*1009.94</f>
        <v>0</v>
      </c>
      <c r="G28" s="60">
        <v>0</v>
      </c>
      <c r="H28" s="60">
        <v>0</v>
      </c>
      <c r="I28" s="60">
        <f>B28*15</f>
        <v>0</v>
      </c>
      <c r="J28" s="60">
        <f>IF(AK28&lt;=4,B28*(213.9-15),B28*(274.7-15))</f>
        <v>0</v>
      </c>
      <c r="K28" s="60">
        <f>B28*9.71</f>
        <v>0</v>
      </c>
      <c r="L28" s="60">
        <f>B28*1671.67</f>
        <v>0</v>
      </c>
      <c r="M28" s="60">
        <f>27.334*B28</f>
        <v>0</v>
      </c>
      <c r="N28" s="11">
        <f t="shared" si="18"/>
        <v>0</v>
      </c>
      <c r="O28" s="60">
        <f t="shared" si="19"/>
        <v>0</v>
      </c>
      <c r="P28" s="60">
        <f t="shared" si="20"/>
        <v>2.99</v>
      </c>
      <c r="Q28" s="60">
        <f t="shared" si="21"/>
        <v>0.98999999999999955</v>
      </c>
      <c r="R28" s="60">
        <f t="shared" si="22"/>
        <v>0</v>
      </c>
      <c r="S28" s="60">
        <f t="shared" si="23"/>
        <v>0</v>
      </c>
      <c r="T28" s="61">
        <f t="shared" si="24"/>
        <v>0</v>
      </c>
      <c r="U28" s="60">
        <f>0.167*B28</f>
        <v>0</v>
      </c>
      <c r="V28" s="60">
        <f>5.14*B28</f>
        <v>0</v>
      </c>
      <c r="W28" s="60">
        <f>(31.2-5.14)*B28</f>
        <v>0</v>
      </c>
      <c r="X28" s="61">
        <f t="shared" si="25"/>
        <v>0</v>
      </c>
      <c r="Y28" s="60">
        <f>IF(AND(AM28&gt;=0.8,AM28&lt;=2),3.94*B28,4.27*B28)</f>
        <v>0</v>
      </c>
      <c r="Z28" s="60">
        <v>0</v>
      </c>
      <c r="AA28" s="60">
        <f>IF(AND(AM28&gt;=0.8,AM28&lt;=2),(((4.02*31*2+2.34)*1.578+2.51*0.888)*B28),((4.02*31*2+2.34)*1.998+2.51*0.888)*B28)</f>
        <v>0</v>
      </c>
      <c r="AB28" s="8">
        <f t="shared" si="26"/>
        <v>0</v>
      </c>
      <c r="AC28" s="8">
        <f t="shared" si="27"/>
        <v>0</v>
      </c>
      <c r="AD28" s="8">
        <f t="shared" si="28"/>
        <v>0</v>
      </c>
      <c r="AE28" s="8">
        <f t="shared" si="29"/>
        <v>0</v>
      </c>
      <c r="AF28" s="9">
        <f t="shared" si="30"/>
        <v>0</v>
      </c>
      <c r="AG28" s="7"/>
      <c r="AJ28" s="26"/>
      <c r="AK28" s="55">
        <v>4</v>
      </c>
      <c r="AL28" s="55">
        <v>0.24</v>
      </c>
      <c r="AM28" s="38">
        <f>IF(AK28+0.22-AO28-0.26&gt;=0.4,AK28+0.22-AO28-0.24,0.4)</f>
        <v>0.98999999999999955</v>
      </c>
      <c r="AN28" s="62">
        <f>IF(AND(AM28&gt;=0.8,AM28&lt;=2),0.24,0.26)</f>
        <v>0.24</v>
      </c>
      <c r="AO28" s="38">
        <v>2.99</v>
      </c>
      <c r="AP28" s="38">
        <f t="shared" si="31"/>
        <v>0.5</v>
      </c>
      <c r="AQ28" s="38">
        <v>2.64</v>
      </c>
      <c r="AR28" s="38">
        <f>(5.68*5.68-4.68*4.68)</f>
        <v>10.360000000000003</v>
      </c>
      <c r="AS28" s="63"/>
    </row>
    <row r="29" spans="1:45" ht="21.95" hidden="1" customHeight="1" x14ac:dyDescent="0.15">
      <c r="A29" s="58" t="s">
        <v>108</v>
      </c>
      <c r="B29" s="59"/>
      <c r="C29" s="7" t="s">
        <v>132</v>
      </c>
      <c r="D29" s="60">
        <f>2.4*B29</f>
        <v>0</v>
      </c>
      <c r="E29" s="60">
        <f>6.91*B29</f>
        <v>0</v>
      </c>
      <c r="F29" s="60">
        <f>B29*1201.92</f>
        <v>0</v>
      </c>
      <c r="G29" s="60">
        <v>0</v>
      </c>
      <c r="H29" s="60">
        <v>0</v>
      </c>
      <c r="I29" s="60">
        <f>B29*15</f>
        <v>0</v>
      </c>
      <c r="J29" s="60">
        <f>IF(AK29&lt;=4,B29*(213.9-15),B29*(274.7-15))</f>
        <v>0</v>
      </c>
      <c r="K29" s="60">
        <f>B29*13.57</f>
        <v>0</v>
      </c>
      <c r="L29" s="60">
        <f>B29*2015.3</f>
        <v>0</v>
      </c>
      <c r="M29" s="60">
        <f>34.82*B29</f>
        <v>0</v>
      </c>
      <c r="N29" s="11">
        <f t="shared" si="18"/>
        <v>0</v>
      </c>
      <c r="O29" s="60">
        <f t="shared" si="19"/>
        <v>0</v>
      </c>
      <c r="P29" s="60">
        <f t="shared" si="20"/>
        <v>3.23</v>
      </c>
      <c r="Q29" s="60">
        <f t="shared" si="21"/>
        <v>0.77000000000000024</v>
      </c>
      <c r="R29" s="60">
        <f t="shared" si="22"/>
        <v>0</v>
      </c>
      <c r="S29" s="60">
        <f t="shared" si="23"/>
        <v>0</v>
      </c>
      <c r="T29" s="61">
        <f t="shared" si="24"/>
        <v>0</v>
      </c>
      <c r="U29" s="60">
        <f>0.167*B29</f>
        <v>0</v>
      </c>
      <c r="V29" s="60">
        <f>5.14*B29</f>
        <v>0</v>
      </c>
      <c r="W29" s="60">
        <f>(31.2-5.14)*B29</f>
        <v>0</v>
      </c>
      <c r="X29" s="61">
        <f t="shared" si="25"/>
        <v>0</v>
      </c>
      <c r="Y29" s="60">
        <f>IF(AND(AM29&gt;=0.8,AM29&lt;=2),4.56*B29,4.93*B29)</f>
        <v>0</v>
      </c>
      <c r="Z29" s="60">
        <v>0</v>
      </c>
      <c r="AA29" s="60">
        <f>IF(AND(AM29&gt;=0.8,AM29&lt;=2),(((4.32*34*2+2.51)*1.998+2.51*0.888)*B29),((4.32*34*2+2.34)*2.466+2.51*0.888)*B29)</f>
        <v>0</v>
      </c>
      <c r="AB29" s="8">
        <f t="shared" si="26"/>
        <v>0</v>
      </c>
      <c r="AC29" s="8">
        <f t="shared" si="27"/>
        <v>0</v>
      </c>
      <c r="AD29" s="8">
        <f t="shared" si="28"/>
        <v>0</v>
      </c>
      <c r="AE29" s="8">
        <f t="shared" si="29"/>
        <v>0</v>
      </c>
      <c r="AF29" s="9">
        <f t="shared" si="30"/>
        <v>0</v>
      </c>
      <c r="AG29" s="7"/>
      <c r="AJ29" s="26"/>
      <c r="AK29" s="55">
        <v>4</v>
      </c>
      <c r="AL29" s="55">
        <v>0.24</v>
      </c>
      <c r="AM29" s="38">
        <f>IF(AK29+0.24-AO29-0.26&gt;=0.4,AK29+0.24-AO29-0.24,0.4)</f>
        <v>0.77000000000000024</v>
      </c>
      <c r="AN29" s="62">
        <f>IF(AND(AM29&gt;=0.8,AM29&lt;=2),0.24,0.26)</f>
        <v>0.26</v>
      </c>
      <c r="AO29" s="38">
        <v>3.23</v>
      </c>
      <c r="AP29" s="38">
        <f t="shared" si="31"/>
        <v>0.5</v>
      </c>
      <c r="AQ29" s="38">
        <v>2.64</v>
      </c>
      <c r="AR29" s="38">
        <f>(5.74*5.74-4.74*4.74)</f>
        <v>10.48</v>
      </c>
      <c r="AS29" s="63"/>
    </row>
    <row r="30" spans="1:45" ht="21.95" hidden="1" customHeight="1" x14ac:dyDescent="0.15">
      <c r="A30" s="58" t="s">
        <v>27</v>
      </c>
      <c r="B30" s="59">
        <f>SUM(B21:B29)</f>
        <v>0</v>
      </c>
      <c r="C30" s="7" t="s">
        <v>82</v>
      </c>
      <c r="D30" s="60">
        <f>SUM(D21:D29)</f>
        <v>0</v>
      </c>
      <c r="E30" s="60">
        <f t="shared" ref="E30:AF30" si="32">SUM(E21:E29)</f>
        <v>0</v>
      </c>
      <c r="F30" s="60">
        <f t="shared" si="32"/>
        <v>0</v>
      </c>
      <c r="G30" s="60">
        <f t="shared" si="32"/>
        <v>0</v>
      </c>
      <c r="H30" s="60">
        <f t="shared" si="32"/>
        <v>0</v>
      </c>
      <c r="I30" s="60">
        <f t="shared" si="32"/>
        <v>0</v>
      </c>
      <c r="J30" s="60">
        <f t="shared" si="32"/>
        <v>0</v>
      </c>
      <c r="K30" s="60">
        <f t="shared" si="32"/>
        <v>0</v>
      </c>
      <c r="L30" s="60">
        <f t="shared" si="32"/>
        <v>0</v>
      </c>
      <c r="M30" s="60">
        <f t="shared" si="32"/>
        <v>0</v>
      </c>
      <c r="N30" s="60">
        <f t="shared" ref="N30" si="33">SUM(N21:N29)</f>
        <v>0</v>
      </c>
      <c r="O30" s="60">
        <f t="shared" ref="O30" si="34">SUM(O21:O29)</f>
        <v>0</v>
      </c>
      <c r="P30" s="60">
        <f t="shared" si="32"/>
        <v>21.48</v>
      </c>
      <c r="Q30" s="60">
        <f t="shared" si="32"/>
        <v>13.75</v>
      </c>
      <c r="R30" s="60">
        <f t="shared" si="32"/>
        <v>0</v>
      </c>
      <c r="S30" s="60">
        <f t="shared" si="32"/>
        <v>0</v>
      </c>
      <c r="T30" s="61">
        <f t="shared" si="32"/>
        <v>0</v>
      </c>
      <c r="U30" s="60">
        <f t="shared" si="32"/>
        <v>0</v>
      </c>
      <c r="V30" s="60">
        <f t="shared" si="32"/>
        <v>0</v>
      </c>
      <c r="W30" s="60">
        <f t="shared" si="32"/>
        <v>0</v>
      </c>
      <c r="X30" s="61">
        <f t="shared" si="32"/>
        <v>0</v>
      </c>
      <c r="Y30" s="60">
        <f t="shared" si="32"/>
        <v>0</v>
      </c>
      <c r="Z30" s="60">
        <f t="shared" si="32"/>
        <v>0</v>
      </c>
      <c r="AA30" s="60">
        <f t="shared" si="32"/>
        <v>0</v>
      </c>
      <c r="AB30" s="8">
        <f t="shared" si="32"/>
        <v>0</v>
      </c>
      <c r="AC30" s="8">
        <f t="shared" si="32"/>
        <v>0</v>
      </c>
      <c r="AD30" s="8">
        <f t="shared" si="32"/>
        <v>0</v>
      </c>
      <c r="AE30" s="8">
        <f t="shared" si="32"/>
        <v>0</v>
      </c>
      <c r="AF30" s="9">
        <f t="shared" si="32"/>
        <v>0</v>
      </c>
      <c r="AG30" s="7"/>
      <c r="AJ30" s="26"/>
      <c r="AK30" s="55"/>
      <c r="AL30" s="55"/>
      <c r="AM30" s="38"/>
      <c r="AN30" s="62"/>
      <c r="AO30" s="38"/>
      <c r="AP30" s="38"/>
      <c r="AQ30" s="38"/>
      <c r="AR30" s="38"/>
      <c r="AS30" s="63"/>
    </row>
    <row r="31" spans="1:45" ht="20.25" customHeight="1" x14ac:dyDescent="0.15">
      <c r="AF31" s="24"/>
      <c r="AG31" s="24"/>
    </row>
    <row r="32" spans="1:45" ht="15" customHeight="1" x14ac:dyDescent="0.15">
      <c r="AF32" s="25"/>
    </row>
    <row r="33" spans="1:75" x14ac:dyDescent="0.15">
      <c r="I33" s="2"/>
      <c r="J33" s="2"/>
      <c r="AG33" s="25"/>
    </row>
    <row r="34" spans="1:75" ht="24.95" customHeight="1" x14ac:dyDescent="0.15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P34" s="72"/>
      <c r="Q34" s="72"/>
      <c r="R34" s="72"/>
      <c r="S34" s="72"/>
      <c r="T34" s="72"/>
      <c r="U34" s="72"/>
      <c r="V34" s="72"/>
      <c r="W34" s="72"/>
      <c r="X34" s="72"/>
      <c r="Z34" s="72"/>
      <c r="AA34" s="72"/>
      <c r="AB34" s="72"/>
      <c r="AE34" s="72"/>
      <c r="AF34" s="72"/>
      <c r="AG34" s="72"/>
      <c r="AH34" s="72"/>
      <c r="AI34" s="72"/>
      <c r="AJ34" s="72"/>
      <c r="AK34" s="73"/>
      <c r="AL34" s="73"/>
      <c r="AM34" s="72"/>
      <c r="AN34" s="73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</row>
    <row r="35" spans="1:75" ht="24.95" customHeight="1" x14ac:dyDescent="0.15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P35" s="72"/>
      <c r="Q35" s="72"/>
      <c r="R35" s="72"/>
      <c r="S35" s="72"/>
      <c r="T35" s="72"/>
      <c r="U35" s="72"/>
      <c r="V35" s="72"/>
      <c r="W35" s="72"/>
      <c r="X35" s="72"/>
      <c r="Z35" s="72"/>
      <c r="AA35" s="72"/>
      <c r="AB35" s="72"/>
      <c r="AE35" s="72"/>
      <c r="AF35" s="72"/>
      <c r="AG35" s="72"/>
      <c r="AH35" s="72"/>
      <c r="AI35" s="72"/>
      <c r="AJ35" s="72"/>
      <c r="AK35" s="73"/>
      <c r="AL35" s="73"/>
      <c r="AM35" s="72"/>
      <c r="AN35" s="73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</row>
    <row r="36" spans="1:75" ht="24.95" customHeight="1" x14ac:dyDescent="0.1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4"/>
      <c r="L36" s="74"/>
      <c r="P36" s="72"/>
      <c r="Q36" s="72"/>
      <c r="R36" s="72"/>
      <c r="S36" s="72"/>
      <c r="T36" s="72"/>
      <c r="U36" s="72"/>
      <c r="V36" s="72"/>
      <c r="W36" s="72"/>
      <c r="X36" s="72"/>
      <c r="Z36" s="72"/>
      <c r="AA36" s="74"/>
      <c r="AB36" s="74"/>
      <c r="AE36" s="72"/>
      <c r="AF36" s="72"/>
      <c r="AG36" s="72"/>
      <c r="AH36" s="72"/>
      <c r="AI36" s="72"/>
      <c r="AJ36" s="72"/>
      <c r="AK36" s="73"/>
      <c r="AL36" s="73"/>
      <c r="AM36" s="72"/>
      <c r="AN36" s="73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</row>
    <row r="37" spans="1:75" ht="24.95" customHeight="1" x14ac:dyDescent="0.15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P37" s="72"/>
      <c r="Q37" s="72"/>
      <c r="R37" s="72"/>
      <c r="S37" s="74"/>
      <c r="T37" s="74"/>
      <c r="U37" s="72"/>
      <c r="V37" s="72"/>
      <c r="W37" s="72"/>
      <c r="X37" s="72"/>
      <c r="Z37" s="72"/>
      <c r="AA37" s="72"/>
      <c r="AB37" s="72"/>
      <c r="AE37" s="72"/>
      <c r="AF37" s="72"/>
      <c r="AG37" s="72"/>
      <c r="AH37" s="72"/>
      <c r="AI37" s="72"/>
      <c r="AJ37" s="72"/>
      <c r="AK37" s="73"/>
      <c r="AL37" s="73"/>
      <c r="AM37" s="72"/>
      <c r="AN37" s="73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</row>
    <row r="38" spans="1:75" ht="24.95" customHeight="1" x14ac:dyDescent="0.15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P38" s="72"/>
      <c r="Q38" s="72"/>
      <c r="R38" s="72"/>
      <c r="S38" s="72"/>
      <c r="T38" s="72"/>
      <c r="U38" s="72"/>
      <c r="V38" s="72"/>
      <c r="W38" s="72"/>
      <c r="X38" s="72"/>
      <c r="Z38" s="72"/>
      <c r="AA38" s="72"/>
      <c r="AB38" s="72"/>
      <c r="AE38" s="72"/>
      <c r="AF38" s="72"/>
      <c r="AG38" s="72"/>
      <c r="AH38" s="72"/>
      <c r="AI38" s="72"/>
      <c r="AJ38" s="72"/>
      <c r="AK38" s="73"/>
      <c r="AL38" s="73"/>
      <c r="AM38" s="72"/>
      <c r="AN38" s="73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</row>
    <row r="39" spans="1:75" ht="24.95" customHeight="1" x14ac:dyDescent="0.15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P39" s="72"/>
      <c r="Q39" s="72"/>
      <c r="R39" s="72"/>
      <c r="S39" s="72"/>
      <c r="T39" s="72"/>
      <c r="U39" s="72"/>
      <c r="V39" s="72"/>
      <c r="W39" s="72"/>
      <c r="X39" s="72"/>
      <c r="Z39" s="72"/>
      <c r="AA39" s="72"/>
      <c r="AB39" s="72"/>
      <c r="AE39" s="72"/>
      <c r="AF39" s="72"/>
      <c r="AG39" s="72"/>
      <c r="AH39" s="72"/>
      <c r="AI39" s="72"/>
      <c r="AJ39" s="72"/>
      <c r="AK39" s="73"/>
      <c r="AL39" s="73"/>
      <c r="AM39" s="72"/>
      <c r="AN39" s="73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</row>
    <row r="40" spans="1:75" ht="24.95" customHeight="1" x14ac:dyDescent="0.15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4"/>
      <c r="L40" s="74"/>
      <c r="R40" s="72"/>
      <c r="S40" s="74"/>
      <c r="T40" s="74"/>
      <c r="U40" s="72"/>
      <c r="X40" s="72"/>
      <c r="Z40" s="72"/>
      <c r="AA40" s="74"/>
      <c r="AB40" s="74"/>
      <c r="AC40" s="72"/>
      <c r="AD40" s="72"/>
      <c r="AE40" s="72"/>
      <c r="AF40" s="72"/>
      <c r="AG40" s="72"/>
      <c r="AH40" s="72"/>
      <c r="AI40" s="72"/>
      <c r="AJ40" s="72"/>
      <c r="AK40" s="73"/>
      <c r="AL40" s="73"/>
      <c r="AM40" s="72"/>
      <c r="AN40" s="73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</row>
    <row r="41" spans="1:75" ht="24.95" customHeight="1" x14ac:dyDescent="0.15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R41" s="72"/>
      <c r="S41" s="72"/>
      <c r="T41" s="72"/>
      <c r="U41" s="72"/>
      <c r="X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3"/>
      <c r="AL41" s="73"/>
      <c r="AM41" s="72"/>
      <c r="AN41" s="73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</row>
    <row r="42" spans="1:75" ht="24.95" customHeight="1" x14ac:dyDescent="0.15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S42" s="74"/>
      <c r="T42" s="74"/>
      <c r="U42" s="72"/>
      <c r="X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3"/>
      <c r="AL42" s="73"/>
      <c r="AM42" s="72"/>
      <c r="AN42" s="73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</row>
    <row r="43" spans="1:75" ht="24.95" customHeight="1" x14ac:dyDescent="0.1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U43" s="72"/>
      <c r="X43" s="72"/>
      <c r="Z43" s="72"/>
      <c r="AA43" s="72"/>
      <c r="AB43" s="72"/>
      <c r="AC43" s="72"/>
      <c r="AD43" s="72"/>
      <c r="AE43" s="72"/>
      <c r="AF43" s="75"/>
      <c r="AG43" s="72"/>
      <c r="AH43" s="72"/>
      <c r="AI43" s="72"/>
      <c r="AJ43" s="72"/>
      <c r="AK43" s="73"/>
      <c r="AL43" s="73"/>
      <c r="AM43" s="72"/>
      <c r="AN43" s="73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</row>
    <row r="44" spans="1:75" ht="24.95" customHeight="1" x14ac:dyDescent="0.15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4"/>
      <c r="L44" s="74"/>
      <c r="R44" s="72"/>
      <c r="S44" s="72"/>
      <c r="T44" s="72"/>
      <c r="U44" s="72"/>
      <c r="X44" s="72"/>
      <c r="Z44" s="72"/>
      <c r="AA44" s="72"/>
      <c r="AB44" s="72"/>
      <c r="AC44" s="72"/>
      <c r="AD44" s="72"/>
      <c r="AE44" s="72"/>
      <c r="AF44" s="75"/>
      <c r="AG44" s="72"/>
      <c r="AH44" s="72"/>
      <c r="AI44" s="72"/>
      <c r="AJ44" s="72"/>
      <c r="AK44" s="73"/>
      <c r="AL44" s="73"/>
      <c r="AM44" s="72"/>
      <c r="AN44" s="73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</row>
    <row r="45" spans="1:75" ht="24.95" customHeight="1" x14ac:dyDescent="0.15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R45" s="72"/>
      <c r="S45" s="72"/>
      <c r="T45" s="72"/>
      <c r="U45" s="72"/>
      <c r="V45" s="72"/>
      <c r="W45" s="72"/>
      <c r="X45" s="72"/>
      <c r="Z45" s="72"/>
      <c r="AA45" s="72"/>
      <c r="AB45" s="72"/>
      <c r="AC45" s="72"/>
      <c r="AD45" s="72"/>
      <c r="AE45" s="72"/>
      <c r="AF45" s="75"/>
      <c r="AG45" s="72"/>
      <c r="AH45" s="72"/>
      <c r="AI45" s="72"/>
      <c r="AJ45" s="72"/>
      <c r="AK45" s="73"/>
      <c r="AL45" s="73"/>
      <c r="AM45" s="72"/>
      <c r="AN45" s="73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</row>
    <row r="46" spans="1:75" ht="24.95" customHeight="1" x14ac:dyDescent="0.15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4"/>
      <c r="L46" s="74"/>
      <c r="R46" s="72"/>
      <c r="S46" s="74"/>
      <c r="T46" s="74"/>
      <c r="U46" s="72"/>
      <c r="V46" s="72"/>
      <c r="W46" s="72"/>
      <c r="X46" s="72"/>
      <c r="Z46" s="72"/>
      <c r="AA46" s="72"/>
      <c r="AB46" s="72"/>
      <c r="AC46" s="72"/>
      <c r="AD46" s="72"/>
      <c r="AE46" s="72"/>
      <c r="AF46" s="75"/>
      <c r="AG46" s="72"/>
      <c r="AH46" s="72"/>
      <c r="AI46" s="72"/>
      <c r="AJ46" s="72"/>
      <c r="AK46" s="73"/>
      <c r="AL46" s="73"/>
      <c r="AM46" s="72"/>
      <c r="AN46" s="73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</row>
    <row r="47" spans="1:75" ht="24.95" customHeight="1" x14ac:dyDescent="0.15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R47" s="72"/>
      <c r="S47" s="72"/>
      <c r="T47" s="72"/>
      <c r="U47" s="72"/>
      <c r="V47" s="72"/>
      <c r="W47" s="72"/>
      <c r="X47" s="72"/>
      <c r="Z47" s="72"/>
      <c r="AA47" s="72"/>
      <c r="AB47" s="72"/>
      <c r="AC47" s="72"/>
      <c r="AD47" s="72"/>
      <c r="AE47" s="72"/>
      <c r="AF47" s="75"/>
      <c r="AG47" s="72"/>
      <c r="AH47" s="72"/>
      <c r="AI47" s="72"/>
      <c r="AJ47" s="72"/>
      <c r="AK47" s="73"/>
      <c r="AL47" s="73"/>
      <c r="AM47" s="72"/>
      <c r="AN47" s="73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</row>
    <row r="48" spans="1:75" ht="24.95" customHeight="1" x14ac:dyDescent="0.1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R48" s="72"/>
      <c r="S48" s="74"/>
      <c r="T48" s="74"/>
      <c r="U48" s="72"/>
      <c r="V48" s="72"/>
      <c r="W48" s="72"/>
      <c r="X48" s="72"/>
      <c r="Z48" s="72"/>
      <c r="AA48" s="72"/>
      <c r="AB48" s="72"/>
      <c r="AC48" s="72"/>
      <c r="AD48" s="72"/>
      <c r="AE48" s="72"/>
      <c r="AF48" s="75"/>
      <c r="AG48" s="72"/>
      <c r="AH48" s="72"/>
      <c r="AI48" s="72"/>
      <c r="AJ48" s="72"/>
      <c r="AK48" s="73"/>
      <c r="AL48" s="73"/>
      <c r="AM48" s="72"/>
      <c r="AN48" s="73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</row>
    <row r="49" spans="1:75" ht="24.95" customHeight="1" x14ac:dyDescent="0.15">
      <c r="A49" s="72"/>
      <c r="B49" s="72"/>
      <c r="C49" s="72"/>
      <c r="D49" s="72"/>
      <c r="E49" s="72"/>
      <c r="F49" s="72"/>
      <c r="G49" s="73"/>
      <c r="H49" s="73"/>
      <c r="I49" s="72"/>
      <c r="J49" s="72"/>
      <c r="K49" s="72"/>
      <c r="L49" s="72"/>
      <c r="M49" s="72"/>
      <c r="N49" s="72"/>
      <c r="O49" s="72"/>
      <c r="R49" s="72"/>
      <c r="S49" s="72"/>
      <c r="T49" s="72"/>
      <c r="U49" s="72"/>
      <c r="V49" s="72"/>
      <c r="W49" s="72"/>
      <c r="X49" s="72"/>
      <c r="Z49" s="72"/>
      <c r="AA49" s="72"/>
      <c r="AB49" s="72"/>
      <c r="AC49" s="72"/>
      <c r="AD49" s="72"/>
      <c r="AE49" s="72"/>
      <c r="AF49" s="75"/>
      <c r="AG49" s="72"/>
      <c r="AH49" s="72"/>
      <c r="AI49" s="72"/>
      <c r="AJ49" s="72"/>
      <c r="AK49" s="73"/>
      <c r="AL49" s="73"/>
      <c r="AM49" s="72"/>
      <c r="AN49" s="73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</row>
    <row r="50" spans="1:75" ht="24.95" customHeight="1" x14ac:dyDescent="0.15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R50" s="72"/>
      <c r="S50" s="72"/>
      <c r="T50" s="72"/>
      <c r="U50" s="72"/>
      <c r="V50" s="72"/>
      <c r="W50" s="72"/>
      <c r="X50" s="72"/>
      <c r="Z50" s="72"/>
      <c r="AA50" s="72"/>
      <c r="AB50" s="72"/>
      <c r="AC50" s="72"/>
      <c r="AD50" s="72"/>
      <c r="AE50" s="72"/>
      <c r="AF50" s="75"/>
      <c r="AG50" s="72"/>
      <c r="AH50" s="72"/>
      <c r="AI50" s="72"/>
      <c r="AJ50" s="72"/>
      <c r="AK50" s="73"/>
      <c r="AL50" s="73"/>
      <c r="AM50" s="72"/>
      <c r="AN50" s="73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</row>
    <row r="51" spans="1:75" ht="24.95" customHeight="1" x14ac:dyDescent="0.15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5"/>
      <c r="AG51" s="72"/>
      <c r="AH51" s="72"/>
      <c r="AI51" s="72"/>
      <c r="AJ51" s="72"/>
      <c r="AK51" s="73"/>
      <c r="AL51" s="73"/>
      <c r="AM51" s="72"/>
      <c r="AN51" s="73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</row>
    <row r="52" spans="1:75" ht="24.95" customHeight="1" x14ac:dyDescent="0.15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5"/>
      <c r="AG52" s="72"/>
      <c r="AH52" s="72"/>
      <c r="AI52" s="72"/>
      <c r="AJ52" s="72"/>
      <c r="AK52" s="73"/>
      <c r="AL52" s="73"/>
      <c r="AM52" s="72"/>
      <c r="AN52" s="73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</row>
    <row r="53" spans="1:75" ht="24.95" customHeight="1" x14ac:dyDescent="0.15">
      <c r="A53" s="72"/>
      <c r="B53" s="72"/>
      <c r="C53" s="72"/>
      <c r="D53" s="72"/>
      <c r="E53" s="72"/>
      <c r="F53" s="72"/>
      <c r="G53" s="73"/>
      <c r="H53" s="73"/>
      <c r="I53" s="72"/>
      <c r="J53" s="72"/>
      <c r="K53" s="72"/>
      <c r="L53" s="72"/>
      <c r="M53" s="72"/>
      <c r="N53" s="72"/>
      <c r="O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5"/>
      <c r="AG53" s="72"/>
      <c r="AH53" s="72"/>
      <c r="AI53" s="72"/>
      <c r="AJ53" s="72"/>
      <c r="AK53" s="73"/>
      <c r="AL53" s="73"/>
      <c r="AM53" s="72"/>
      <c r="AN53" s="73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</row>
    <row r="54" spans="1:75" ht="24.95" customHeight="1" x14ac:dyDescent="0.15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3"/>
      <c r="AL54" s="73"/>
      <c r="AM54" s="72"/>
      <c r="AN54" s="73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</row>
    <row r="55" spans="1:75" ht="24.95" customHeight="1" x14ac:dyDescent="0.15">
      <c r="A55" s="72"/>
      <c r="B55" s="72"/>
      <c r="C55" s="72"/>
      <c r="D55" s="72"/>
      <c r="E55" s="72"/>
      <c r="F55" s="72"/>
      <c r="G55" s="73"/>
      <c r="H55" s="73"/>
      <c r="I55" s="72"/>
      <c r="J55" s="72"/>
      <c r="K55" s="72"/>
      <c r="L55" s="72"/>
      <c r="M55" s="72"/>
      <c r="N55" s="72"/>
      <c r="O55" s="72"/>
      <c r="R55" s="76"/>
      <c r="S55" s="76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3"/>
      <c r="AL55" s="73"/>
      <c r="AM55" s="72"/>
      <c r="AN55" s="73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</row>
    <row r="56" spans="1:75" ht="24.95" customHeight="1" x14ac:dyDescent="0.15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3"/>
      <c r="AL56" s="73"/>
      <c r="AM56" s="72"/>
      <c r="AN56" s="73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</row>
    <row r="57" spans="1:75" ht="24.95" customHeight="1" x14ac:dyDescent="0.15">
      <c r="F57" s="72"/>
      <c r="G57" s="76"/>
      <c r="H57" s="76"/>
      <c r="I57" s="72"/>
      <c r="K57" s="77"/>
      <c r="L57" s="77"/>
      <c r="M57" s="72"/>
      <c r="N57" s="72"/>
      <c r="O57" s="72"/>
      <c r="Y57" s="72"/>
      <c r="Z57" s="72"/>
      <c r="AA57" s="72"/>
      <c r="AG57" s="72"/>
    </row>
    <row r="58" spans="1:75" ht="24.95" customHeight="1" x14ac:dyDescent="0.15">
      <c r="I58" s="72"/>
      <c r="K58" s="72"/>
      <c r="L58" s="72"/>
      <c r="M58" s="72"/>
      <c r="N58" s="72"/>
      <c r="O58" s="72"/>
      <c r="R58" s="72"/>
      <c r="S58" s="72"/>
      <c r="Y58" s="72"/>
      <c r="Z58" s="72"/>
      <c r="AA58" s="72"/>
    </row>
    <row r="59" spans="1:75" ht="24.95" customHeight="1" x14ac:dyDescent="0.15">
      <c r="F59" s="28"/>
      <c r="G59" s="72"/>
      <c r="H59" s="72"/>
      <c r="I59" s="72"/>
      <c r="K59" s="72"/>
      <c r="L59" s="72"/>
      <c r="M59" s="72"/>
      <c r="N59" s="72"/>
      <c r="O59" s="72"/>
      <c r="R59" s="72"/>
      <c r="S59" s="72"/>
      <c r="Y59" s="72"/>
      <c r="Z59" s="72"/>
      <c r="AA59" s="72"/>
    </row>
    <row r="60" spans="1:75" ht="24.95" customHeight="1" x14ac:dyDescent="0.15">
      <c r="G60" s="73"/>
      <c r="H60" s="73"/>
      <c r="I60" s="72"/>
      <c r="K60" s="72"/>
      <c r="L60" s="72"/>
      <c r="M60" s="72"/>
      <c r="N60" s="72"/>
      <c r="O60" s="72"/>
      <c r="R60" s="72"/>
      <c r="S60" s="72"/>
      <c r="Y60" s="72"/>
      <c r="Z60" s="72"/>
      <c r="AA60" s="72"/>
    </row>
    <row r="61" spans="1:75" ht="24.95" customHeight="1" x14ac:dyDescent="0.15">
      <c r="G61" s="72"/>
      <c r="H61" s="72"/>
      <c r="Y61" s="72"/>
      <c r="Z61" s="72"/>
      <c r="AA61" s="72"/>
    </row>
    <row r="62" spans="1:75" ht="24.95" customHeight="1" x14ac:dyDescent="0.15">
      <c r="F62" s="72"/>
      <c r="G62" s="72"/>
      <c r="H62" s="72"/>
      <c r="I62" s="72"/>
      <c r="J62" s="72"/>
      <c r="K62" s="74"/>
      <c r="L62" s="74"/>
      <c r="M62" s="72"/>
      <c r="N62" s="72"/>
      <c r="O62" s="72"/>
      <c r="AA62" s="72"/>
    </row>
    <row r="63" spans="1:75" ht="24.95" customHeight="1" x14ac:dyDescent="0.15">
      <c r="F63" s="72"/>
      <c r="G63" s="72"/>
      <c r="H63" s="72"/>
      <c r="I63" s="72"/>
      <c r="J63" s="72"/>
      <c r="K63" s="72"/>
      <c r="L63" s="72"/>
      <c r="M63" s="72"/>
      <c r="N63" s="72"/>
      <c r="O63" s="72"/>
    </row>
    <row r="64" spans="1:75" ht="24.95" customHeight="1" x14ac:dyDescent="0.15">
      <c r="F64" s="72"/>
      <c r="G64" s="72"/>
      <c r="H64" s="72"/>
      <c r="I64" s="72"/>
      <c r="J64" s="72"/>
      <c r="K64" s="72"/>
      <c r="L64" s="72"/>
      <c r="M64" s="72"/>
      <c r="N64" s="72"/>
      <c r="O64" s="72"/>
    </row>
    <row r="65" spans="11:15" ht="24.95" customHeight="1" x14ac:dyDescent="0.15">
      <c r="K65" s="74"/>
      <c r="L65" s="74"/>
      <c r="M65" s="72"/>
      <c r="N65" s="72"/>
      <c r="O65" s="72"/>
    </row>
    <row r="66" spans="11:15" ht="24.95" customHeight="1" x14ac:dyDescent="0.15">
      <c r="K66" s="72"/>
      <c r="L66" s="72"/>
      <c r="M66" s="72"/>
      <c r="N66" s="72"/>
      <c r="O66" s="72"/>
    </row>
    <row r="67" spans="11:15" ht="24.95" customHeight="1" x14ac:dyDescent="0.15">
      <c r="K67" s="72"/>
      <c r="L67" s="72"/>
      <c r="M67" s="72"/>
      <c r="N67" s="72"/>
      <c r="O67" s="72"/>
    </row>
    <row r="68" spans="11:15" ht="24.95" customHeight="1" x14ac:dyDescent="0.15">
      <c r="K68" s="72"/>
      <c r="L68" s="72"/>
      <c r="M68" s="72"/>
      <c r="N68" s="72"/>
      <c r="O68" s="72"/>
    </row>
    <row r="69" spans="11:15" ht="24.95" customHeight="1" x14ac:dyDescent="0.15"/>
    <row r="70" spans="11:15" ht="24.95" customHeight="1" x14ac:dyDescent="0.15"/>
    <row r="71" spans="11:15" ht="24.95" customHeight="1" x14ac:dyDescent="0.15"/>
    <row r="72" spans="11:15" ht="24.95" customHeight="1" x14ac:dyDescent="0.15"/>
    <row r="73" spans="11:15" ht="24.95" customHeight="1" x14ac:dyDescent="0.15"/>
    <row r="74" spans="11:15" ht="24.95" customHeight="1" x14ac:dyDescent="0.15"/>
    <row r="75" spans="11:15" ht="24.95" customHeight="1" x14ac:dyDescent="0.15"/>
    <row r="76" spans="11:15" ht="24.95" customHeight="1" x14ac:dyDescent="0.15"/>
    <row r="77" spans="11:15" ht="24.95" customHeight="1" x14ac:dyDescent="0.15"/>
    <row r="78" spans="11:15" ht="24.95" customHeight="1" x14ac:dyDescent="0.15"/>
    <row r="79" spans="11:15" ht="24.95" customHeight="1" x14ac:dyDescent="0.15"/>
    <row r="80" spans="11:15" ht="24.95" customHeight="1" x14ac:dyDescent="0.15"/>
    <row r="81" ht="24.95" customHeight="1" x14ac:dyDescent="0.15"/>
    <row r="82" ht="24.95" customHeight="1" x14ac:dyDescent="0.15"/>
    <row r="83" ht="24.95" customHeight="1" x14ac:dyDescent="0.15"/>
    <row r="84" ht="24.95" customHeight="1" x14ac:dyDescent="0.15"/>
    <row r="85" ht="24.95" customHeight="1" x14ac:dyDescent="0.15"/>
    <row r="86" ht="24.95" customHeight="1" x14ac:dyDescent="0.15"/>
    <row r="87" ht="24.95" customHeight="1" x14ac:dyDescent="0.15"/>
    <row r="88" ht="24.95" customHeight="1" x14ac:dyDescent="0.15"/>
    <row r="89" ht="24.95" customHeight="1" x14ac:dyDescent="0.15"/>
    <row r="90" ht="24.95" customHeight="1" x14ac:dyDescent="0.15"/>
    <row r="91" ht="24.95" customHeight="1" x14ac:dyDescent="0.15"/>
    <row r="92" ht="24.95" customHeight="1" x14ac:dyDescent="0.15"/>
    <row r="93" ht="24.95" customHeight="1" x14ac:dyDescent="0.15"/>
  </sheetData>
  <mergeCells count="45">
    <mergeCell ref="AQ8:AR8"/>
    <mergeCell ref="A9:AG9"/>
    <mergeCell ref="A20:AG20"/>
    <mergeCell ref="N4:N5"/>
    <mergeCell ref="O4:O5"/>
    <mergeCell ref="AB4:AB6"/>
    <mergeCell ref="AC4:AC6"/>
    <mergeCell ref="AD4:AD6"/>
    <mergeCell ref="AE4:AE6"/>
    <mergeCell ref="V5:V6"/>
    <mergeCell ref="W5:W6"/>
    <mergeCell ref="Z5:Z6"/>
    <mergeCell ref="AA5:AA6"/>
    <mergeCell ref="T4:T6"/>
    <mergeCell ref="U4:U6"/>
    <mergeCell ref="V4:W4"/>
    <mergeCell ref="Y4:Y6"/>
    <mergeCell ref="Z4:AA4"/>
    <mergeCell ref="L4:L5"/>
    <mergeCell ref="M4:M5"/>
    <mergeCell ref="P4:P6"/>
    <mergeCell ref="Q4:Q6"/>
    <mergeCell ref="R4:R6"/>
    <mergeCell ref="S4:S6"/>
    <mergeCell ref="G4:G6"/>
    <mergeCell ref="H4:H6"/>
    <mergeCell ref="I4:J5"/>
    <mergeCell ref="K4:K5"/>
    <mergeCell ref="X4:X6"/>
    <mergeCell ref="K1:Z1"/>
    <mergeCell ref="AF2:AG2"/>
    <mergeCell ref="A3:A7"/>
    <mergeCell ref="B3:B6"/>
    <mergeCell ref="C3:C7"/>
    <mergeCell ref="E3:F3"/>
    <mergeCell ref="K3:Q3"/>
    <mergeCell ref="R3:T3"/>
    <mergeCell ref="U3:X3"/>
    <mergeCell ref="Y3:AA3"/>
    <mergeCell ref="AB3:AE3"/>
    <mergeCell ref="AF3:AF6"/>
    <mergeCell ref="AG3:AG7"/>
    <mergeCell ref="D4:D6"/>
    <mergeCell ref="E4:E6"/>
    <mergeCell ref="F4:F6"/>
  </mergeCells>
  <phoneticPr fontId="6" type="noConversion"/>
  <printOptions horizontalCentered="1"/>
  <pageMargins left="0.86614173228346458" right="0.35433070866141736" top="0.98425196850393704" bottom="0.70866141732283472" header="0.51181102362204722" footer="0.51181102362204722"/>
  <pageSetup paperSize="8" scale="71" orientation="landscape" horizontalDpi="180" verticalDpi="18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U92"/>
  <sheetViews>
    <sheetView view="pageBreakPreview" zoomScaleNormal="100" zoomScaleSheetLayoutView="100" workbookViewId="0">
      <pane xSplit="3" topLeftCell="D1" activePane="topRight" state="frozenSplit"/>
      <selection pane="topRight" activeCell="B24" sqref="B24"/>
    </sheetView>
  </sheetViews>
  <sheetFormatPr defaultColWidth="9" defaultRowHeight="14.25" x14ac:dyDescent="0.15"/>
  <cols>
    <col min="1" max="1" width="18.25" style="1" customWidth="1"/>
    <col min="2" max="2" width="5.5" style="1" customWidth="1"/>
    <col min="3" max="3" width="23.25" style="1" customWidth="1"/>
    <col min="4" max="4" width="11" style="1" customWidth="1"/>
    <col min="5" max="5" width="9.25" style="1" customWidth="1"/>
    <col min="6" max="6" width="11.625" style="2" customWidth="1"/>
    <col min="7" max="7" width="9.375" style="1" hidden="1" customWidth="1"/>
    <col min="8" max="8" width="8.25" style="1" hidden="1" customWidth="1"/>
    <col min="9" max="9" width="9.5" style="1" hidden="1" customWidth="1"/>
    <col min="10" max="10" width="10.25" style="1" hidden="1" customWidth="1"/>
    <col min="11" max="11" width="13.375" style="1" customWidth="1"/>
    <col min="12" max="12" width="11.375" style="1" customWidth="1"/>
    <col min="13" max="13" width="11.875" style="1" customWidth="1"/>
    <col min="14" max="14" width="7.125" style="1" customWidth="1"/>
    <col min="15" max="15" width="6.5" style="1" customWidth="1"/>
    <col min="16" max="16" width="8.5" style="1" hidden="1" customWidth="1"/>
    <col min="17" max="17" width="8.375" style="1" hidden="1" customWidth="1"/>
    <col min="18" max="18" width="6.875" style="1" hidden="1" customWidth="1"/>
    <col min="19" max="20" width="7.875" style="1" customWidth="1"/>
    <col min="21" max="21" width="8.875" style="1" customWidth="1"/>
    <col min="22" max="22" width="7.875" style="1" customWidth="1"/>
    <col min="23" max="23" width="8.75" style="1" customWidth="1"/>
    <col min="24" max="24" width="9.25" style="1" customWidth="1"/>
    <col min="25" max="25" width="9.375" style="1" customWidth="1"/>
    <col min="26" max="29" width="7.5" style="1" customWidth="1"/>
    <col min="30" max="30" width="11.375" style="1" customWidth="1"/>
    <col min="31" max="31" width="11" style="1" customWidth="1"/>
    <col min="32" max="33" width="6.75" style="1" customWidth="1"/>
    <col min="34" max="34" width="22.125" style="1" customWidth="1"/>
    <col min="35" max="35" width="11.75" style="44" customWidth="1"/>
    <col min="36" max="36" width="20.5" style="44" customWidth="1"/>
    <col min="37" max="37" width="16" style="1" customWidth="1"/>
    <col min="38" max="38" width="13" style="44" customWidth="1"/>
    <col min="39" max="39" width="12" style="1" customWidth="1"/>
    <col min="40" max="40" width="12.5" style="1" customWidth="1"/>
    <col min="41" max="41" width="10.625" style="1" customWidth="1"/>
    <col min="42" max="42" width="10.875" style="3" customWidth="1"/>
    <col min="43" max="49" width="8.625" style="1" customWidth="1"/>
    <col min="50" max="52" width="9.125" style="1" customWidth="1"/>
    <col min="53" max="54" width="8.625" style="1" customWidth="1"/>
    <col min="55" max="59" width="9" style="1"/>
    <col min="60" max="60" width="10.625" style="1" customWidth="1"/>
    <col min="61" max="16384" width="9" style="1"/>
  </cols>
  <sheetData>
    <row r="1" spans="1:43" ht="21" x14ac:dyDescent="0.3">
      <c r="K1" s="368" t="s">
        <v>0</v>
      </c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</row>
    <row r="2" spans="1:43" ht="26.25" customHeight="1" x14ac:dyDescent="0.15">
      <c r="A2" s="37" t="s">
        <v>148</v>
      </c>
      <c r="B2" s="4"/>
      <c r="C2" s="4"/>
      <c r="D2" s="4"/>
      <c r="E2" s="4"/>
      <c r="F2" s="4"/>
      <c r="G2" s="4"/>
      <c r="H2" s="45"/>
      <c r="I2" s="45"/>
      <c r="J2" s="45"/>
      <c r="X2" s="37" t="s">
        <v>93</v>
      </c>
      <c r="AD2" s="346" t="s">
        <v>91</v>
      </c>
      <c r="AE2" s="347"/>
    </row>
    <row r="3" spans="1:43" ht="23.25" customHeight="1" x14ac:dyDescent="0.15">
      <c r="A3" s="348" t="s">
        <v>1</v>
      </c>
      <c r="B3" s="348" t="s">
        <v>2</v>
      </c>
      <c r="C3" s="349" t="s">
        <v>55</v>
      </c>
      <c r="D3" s="42" t="s">
        <v>94</v>
      </c>
      <c r="E3" s="350" t="s">
        <v>95</v>
      </c>
      <c r="F3" s="351"/>
      <c r="G3" s="46"/>
      <c r="H3" s="46"/>
      <c r="I3" s="46"/>
      <c r="J3" s="47"/>
      <c r="K3" s="352" t="s">
        <v>3</v>
      </c>
      <c r="L3" s="353"/>
      <c r="M3" s="353"/>
      <c r="N3" s="353"/>
      <c r="O3" s="354"/>
      <c r="P3" s="348" t="s">
        <v>56</v>
      </c>
      <c r="Q3" s="348"/>
      <c r="R3" s="348"/>
      <c r="S3" s="350" t="s">
        <v>92</v>
      </c>
      <c r="T3" s="355"/>
      <c r="U3" s="355"/>
      <c r="V3" s="351"/>
      <c r="W3" s="350" t="s">
        <v>4</v>
      </c>
      <c r="X3" s="355"/>
      <c r="Y3" s="355"/>
      <c r="Z3" s="350" t="s">
        <v>57</v>
      </c>
      <c r="AA3" s="355"/>
      <c r="AB3" s="355"/>
      <c r="AC3" s="351"/>
      <c r="AD3" s="356" t="s">
        <v>5</v>
      </c>
      <c r="AE3" s="348" t="s">
        <v>6</v>
      </c>
    </row>
    <row r="4" spans="1:43" ht="15" customHeight="1" x14ac:dyDescent="0.2">
      <c r="A4" s="348"/>
      <c r="B4" s="348"/>
      <c r="C4" s="349"/>
      <c r="D4" s="357" t="s">
        <v>96</v>
      </c>
      <c r="E4" s="359" t="s">
        <v>97</v>
      </c>
      <c r="F4" s="362" t="s">
        <v>98</v>
      </c>
      <c r="G4" s="363" t="s">
        <v>58</v>
      </c>
      <c r="H4" s="363" t="s">
        <v>7</v>
      </c>
      <c r="I4" s="369" t="s">
        <v>8</v>
      </c>
      <c r="J4" s="370"/>
      <c r="K4" s="356" t="s">
        <v>89</v>
      </c>
      <c r="L4" s="363" t="s">
        <v>59</v>
      </c>
      <c r="M4" s="356" t="s">
        <v>89</v>
      </c>
      <c r="N4" s="374" t="s">
        <v>60</v>
      </c>
      <c r="O4" s="374" t="s">
        <v>61</v>
      </c>
      <c r="P4" s="377" t="s">
        <v>62</v>
      </c>
      <c r="Q4" s="377" t="s">
        <v>63</v>
      </c>
      <c r="R4" s="363" t="s">
        <v>64</v>
      </c>
      <c r="S4" s="363" t="s">
        <v>65</v>
      </c>
      <c r="T4" s="381" t="s">
        <v>66</v>
      </c>
      <c r="U4" s="382"/>
      <c r="V4" s="363" t="s">
        <v>147</v>
      </c>
      <c r="W4" s="366" t="s">
        <v>99</v>
      </c>
      <c r="X4" s="367" t="s">
        <v>9</v>
      </c>
      <c r="Y4" s="367"/>
      <c r="Z4" s="380" t="s">
        <v>10</v>
      </c>
      <c r="AA4" s="380" t="s">
        <v>11</v>
      </c>
      <c r="AB4" s="356" t="s">
        <v>12</v>
      </c>
      <c r="AC4" s="356" t="s">
        <v>13</v>
      </c>
      <c r="AD4" s="356"/>
      <c r="AE4" s="348"/>
    </row>
    <row r="5" spans="1:43" ht="15" customHeight="1" x14ac:dyDescent="0.15">
      <c r="A5" s="348"/>
      <c r="B5" s="348"/>
      <c r="C5" s="349"/>
      <c r="D5" s="358"/>
      <c r="E5" s="360"/>
      <c r="F5" s="360"/>
      <c r="G5" s="364"/>
      <c r="H5" s="364"/>
      <c r="I5" s="371"/>
      <c r="J5" s="372"/>
      <c r="K5" s="356"/>
      <c r="L5" s="365"/>
      <c r="M5" s="356"/>
      <c r="N5" s="375"/>
      <c r="O5" s="375"/>
      <c r="P5" s="378"/>
      <c r="Q5" s="378"/>
      <c r="R5" s="364"/>
      <c r="S5" s="364"/>
      <c r="T5" s="363" t="s">
        <v>67</v>
      </c>
      <c r="U5" s="363" t="s">
        <v>68</v>
      </c>
      <c r="V5" s="364"/>
      <c r="W5" s="366"/>
      <c r="X5" s="348" t="s">
        <v>14</v>
      </c>
      <c r="Y5" s="348" t="s">
        <v>15</v>
      </c>
      <c r="Z5" s="380"/>
      <c r="AA5" s="380"/>
      <c r="AB5" s="356"/>
      <c r="AC5" s="356"/>
      <c r="AD5" s="356"/>
      <c r="AE5" s="348"/>
      <c r="AK5" s="5" t="s">
        <v>122</v>
      </c>
    </row>
    <row r="6" spans="1:43" ht="15" customHeight="1" x14ac:dyDescent="0.15">
      <c r="A6" s="348"/>
      <c r="B6" s="348"/>
      <c r="C6" s="349"/>
      <c r="D6" s="358"/>
      <c r="E6" s="361"/>
      <c r="F6" s="361"/>
      <c r="G6" s="365"/>
      <c r="H6" s="365"/>
      <c r="I6" s="48" t="s">
        <v>16</v>
      </c>
      <c r="J6" s="49" t="s">
        <v>15</v>
      </c>
      <c r="K6" s="48" t="s">
        <v>17</v>
      </c>
      <c r="L6" s="48" t="s">
        <v>17</v>
      </c>
      <c r="M6" s="48" t="s">
        <v>18</v>
      </c>
      <c r="N6" s="376"/>
      <c r="O6" s="376"/>
      <c r="P6" s="378"/>
      <c r="Q6" s="379"/>
      <c r="R6" s="365"/>
      <c r="S6" s="365"/>
      <c r="T6" s="365"/>
      <c r="U6" s="365"/>
      <c r="V6" s="365"/>
      <c r="W6" s="366"/>
      <c r="X6" s="348"/>
      <c r="Y6" s="348"/>
      <c r="Z6" s="380"/>
      <c r="AA6" s="380"/>
      <c r="AB6" s="356"/>
      <c r="AC6" s="356"/>
      <c r="AD6" s="356"/>
      <c r="AE6" s="348"/>
    </row>
    <row r="7" spans="1:43" ht="15" customHeight="1" x14ac:dyDescent="0.15">
      <c r="A7" s="348"/>
      <c r="B7" s="41" t="s">
        <v>19</v>
      </c>
      <c r="C7" s="349"/>
      <c r="D7" s="6" t="s">
        <v>20</v>
      </c>
      <c r="E7" s="6" t="s">
        <v>20</v>
      </c>
      <c r="F7" s="41" t="s">
        <v>21</v>
      </c>
      <c r="G7" s="41" t="s">
        <v>20</v>
      </c>
      <c r="H7" s="41" t="s">
        <v>69</v>
      </c>
      <c r="I7" s="41" t="s">
        <v>21</v>
      </c>
      <c r="J7" s="41" t="s">
        <v>21</v>
      </c>
      <c r="K7" s="48" t="s">
        <v>22</v>
      </c>
      <c r="L7" s="48" t="s">
        <v>70</v>
      </c>
      <c r="M7" s="48" t="s">
        <v>22</v>
      </c>
      <c r="N7" s="48" t="s">
        <v>71</v>
      </c>
      <c r="O7" s="48" t="s">
        <v>71</v>
      </c>
      <c r="P7" s="48" t="s">
        <v>22</v>
      </c>
      <c r="Q7" s="41" t="s">
        <v>21</v>
      </c>
      <c r="R7" s="41" t="s">
        <v>23</v>
      </c>
      <c r="S7" s="48" t="s">
        <v>22</v>
      </c>
      <c r="T7" s="41" t="s">
        <v>21</v>
      </c>
      <c r="U7" s="41" t="s">
        <v>21</v>
      </c>
      <c r="V7" s="41" t="s">
        <v>23</v>
      </c>
      <c r="W7" s="41" t="s">
        <v>20</v>
      </c>
      <c r="X7" s="41" t="s">
        <v>21</v>
      </c>
      <c r="Y7" s="41" t="s">
        <v>21</v>
      </c>
      <c r="Z7" s="50" t="s">
        <v>24</v>
      </c>
      <c r="AA7" s="51" t="s">
        <v>25</v>
      </c>
      <c r="AB7" s="52" t="s">
        <v>24</v>
      </c>
      <c r="AC7" s="48" t="s">
        <v>54</v>
      </c>
      <c r="AD7" s="41" t="s">
        <v>26</v>
      </c>
      <c r="AE7" s="348"/>
    </row>
    <row r="8" spans="1:43" ht="21.95" customHeight="1" x14ac:dyDescent="0.1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15</v>
      </c>
      <c r="O8" s="7">
        <v>16</v>
      </c>
      <c r="P8" s="7">
        <v>17</v>
      </c>
      <c r="Q8" s="7">
        <v>18</v>
      </c>
      <c r="R8" s="7">
        <v>19</v>
      </c>
      <c r="S8" s="7">
        <v>20</v>
      </c>
      <c r="T8" s="7">
        <v>21</v>
      </c>
      <c r="U8" s="7">
        <v>22</v>
      </c>
      <c r="V8" s="7">
        <v>23</v>
      </c>
      <c r="W8" s="7">
        <v>24</v>
      </c>
      <c r="X8" s="7">
        <v>25</v>
      </c>
      <c r="Y8" s="7">
        <v>26</v>
      </c>
      <c r="Z8" s="7">
        <v>27</v>
      </c>
      <c r="AA8" s="7">
        <v>28</v>
      </c>
      <c r="AB8" s="7">
        <v>29</v>
      </c>
      <c r="AC8" s="7">
        <v>30</v>
      </c>
      <c r="AD8" s="7">
        <v>31</v>
      </c>
      <c r="AE8" s="7">
        <v>32</v>
      </c>
      <c r="AI8" s="53"/>
      <c r="AJ8" s="53"/>
      <c r="AK8" s="43"/>
      <c r="AL8" s="62"/>
      <c r="AM8" s="43"/>
      <c r="AN8" s="43"/>
      <c r="AO8" s="373" t="s">
        <v>72</v>
      </c>
      <c r="AP8" s="373"/>
      <c r="AQ8" s="27"/>
    </row>
    <row r="9" spans="1:43" ht="21.95" hidden="1" customHeight="1" x14ac:dyDescent="0.15">
      <c r="A9" s="383" t="s">
        <v>123</v>
      </c>
      <c r="B9" s="383"/>
      <c r="C9" s="383"/>
      <c r="D9" s="383"/>
      <c r="E9" s="383"/>
      <c r="F9" s="383"/>
      <c r="G9" s="383"/>
      <c r="H9" s="383"/>
      <c r="I9" s="383"/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  <c r="W9" s="383"/>
      <c r="X9" s="383"/>
      <c r="Y9" s="383"/>
      <c r="Z9" s="383"/>
      <c r="AA9" s="383"/>
      <c r="AB9" s="383"/>
      <c r="AC9" s="383"/>
      <c r="AD9" s="383"/>
      <c r="AE9" s="383"/>
      <c r="AI9" s="53" t="s">
        <v>73</v>
      </c>
      <c r="AJ9" s="55" t="s">
        <v>74</v>
      </c>
      <c r="AK9" s="43" t="s">
        <v>75</v>
      </c>
      <c r="AL9" s="56" t="s">
        <v>101</v>
      </c>
      <c r="AM9" s="43" t="s">
        <v>76</v>
      </c>
      <c r="AN9" s="43" t="s">
        <v>77</v>
      </c>
      <c r="AO9" s="43" t="s">
        <v>78</v>
      </c>
      <c r="AP9" s="57" t="s">
        <v>79</v>
      </c>
      <c r="AQ9" s="40"/>
    </row>
    <row r="10" spans="1:43" ht="21.95" hidden="1" customHeight="1" x14ac:dyDescent="0.15">
      <c r="A10" s="58" t="s">
        <v>108</v>
      </c>
      <c r="B10" s="59">
        <v>1</v>
      </c>
      <c r="C10" s="7" t="s">
        <v>124</v>
      </c>
      <c r="D10" s="60">
        <f>0.62*B10</f>
        <v>0.62</v>
      </c>
      <c r="E10" s="60">
        <f>B10*1.42</f>
        <v>1.42</v>
      </c>
      <c r="F10" s="60">
        <f>B10*49.02</f>
        <v>49.02</v>
      </c>
      <c r="G10" s="60">
        <v>0</v>
      </c>
      <c r="H10" s="60">
        <v>0</v>
      </c>
      <c r="I10" s="60">
        <f>B10*7.6</f>
        <v>7.6</v>
      </c>
      <c r="J10" s="60">
        <f>IF(AI10&lt;=4,B10*(98.1-7.6),B10*(131.6-7.6))</f>
        <v>90.5</v>
      </c>
      <c r="K10" s="60">
        <f>B10*5.13</f>
        <v>5.13</v>
      </c>
      <c r="L10" s="60">
        <f>B10*9.12</f>
        <v>9.1199999999999992</v>
      </c>
      <c r="M10" s="60">
        <v>0.71</v>
      </c>
      <c r="N10" s="60">
        <f t="shared" ref="N10:N18" si="0">AM10</f>
        <v>1.9</v>
      </c>
      <c r="O10" s="60">
        <f t="shared" ref="O10:O18" si="1">AK10</f>
        <v>2.0599999999999996</v>
      </c>
      <c r="P10" s="60">
        <f t="shared" ref="P10:P18" si="2">0.253*0.1*B10</f>
        <v>2.5300000000000003E-2</v>
      </c>
      <c r="Q10" s="60">
        <f t="shared" ref="Q10:Q18" si="3">2.53*0.395*B10</f>
        <v>0.99934999999999996</v>
      </c>
      <c r="R10" s="61">
        <f t="shared" ref="R10:R18" si="4">B10</f>
        <v>1</v>
      </c>
      <c r="S10" s="60">
        <f t="shared" ref="S10:S18" si="5">0.167*B10</f>
        <v>0.16700000000000001</v>
      </c>
      <c r="T10" s="60">
        <f t="shared" ref="T10:T18" si="6">5.14*B10</f>
        <v>5.14</v>
      </c>
      <c r="U10" s="60">
        <f t="shared" ref="U10:U18" si="7">(31.2-5.14)*B10</f>
        <v>26.06</v>
      </c>
      <c r="V10" s="61">
        <f t="shared" ref="V10:V18" si="8">B10</f>
        <v>1</v>
      </c>
      <c r="W10" s="60">
        <f>IF(AND(AK10&gt;=0.8,AK10&lt;=2),0.54*B10,0.62*B10)</f>
        <v>0.62</v>
      </c>
      <c r="X10" s="60">
        <v>0</v>
      </c>
      <c r="Y10" s="60">
        <f>IF(AND(AK10&gt;=0.8,AK10&lt;=2),(((1.98*14*2+2.28)*1.208+2.51*0.888)*B10),(((1.98*14*2+2.28)*1.578+2.51*0.888)*B10))</f>
        <v>93.311040000000006</v>
      </c>
      <c r="Z10" s="8">
        <f t="shared" ref="Z10:Z18" si="9">AI10/0.36*B10</f>
        <v>11.111111111111111</v>
      </c>
      <c r="AA10" s="8">
        <f t="shared" ref="AA10:AA18" si="10">B10*1</f>
        <v>1</v>
      </c>
      <c r="AB10" s="8">
        <f t="shared" ref="AB10:AB18" si="11">AA10</f>
        <v>1</v>
      </c>
      <c r="AC10" s="8">
        <f t="shared" ref="AC10:AC18" si="12">8*B10</f>
        <v>8</v>
      </c>
      <c r="AD10" s="9">
        <f t="shared" ref="AD10:AD18" si="13">IF(AK10&gt;=AJ10,((AK10-AJ10)*AO10+AN10*AP10)*B10,((AN10+AK10-AJ10)*AP10)*B10)</f>
        <v>9.3072000000000017</v>
      </c>
      <c r="AE10" s="7"/>
      <c r="AH10" s="26"/>
      <c r="AI10" s="55">
        <v>4</v>
      </c>
      <c r="AJ10" s="55">
        <v>0.24</v>
      </c>
      <c r="AK10" s="38">
        <f>IF(AI10+0.1-AM10-0.16&gt;=0.4,AI10+0.1-AM10-0.14,0.4)</f>
        <v>2.0599999999999996</v>
      </c>
      <c r="AL10" s="62">
        <f>IF(AND(AK10&gt;=0.8,AK10&lt;=2),0.14,0.16)</f>
        <v>0.16</v>
      </c>
      <c r="AM10" s="38">
        <v>1.9</v>
      </c>
      <c r="AN10" s="38">
        <f>AI10-AK10-1-0.1</f>
        <v>0.84000000000000041</v>
      </c>
      <c r="AO10" s="38">
        <v>2.64</v>
      </c>
      <c r="AP10" s="38">
        <f>(3.18*3.18-2.18*2.18)</f>
        <v>5.36</v>
      </c>
      <c r="AQ10" s="63"/>
    </row>
    <row r="11" spans="1:43" ht="21.95" hidden="1" customHeight="1" x14ac:dyDescent="0.15">
      <c r="A11" s="58" t="s">
        <v>108</v>
      </c>
      <c r="B11" s="59">
        <v>1</v>
      </c>
      <c r="C11" s="7" t="s">
        <v>125</v>
      </c>
      <c r="D11" s="60">
        <f>0.83*B11</f>
        <v>0.83</v>
      </c>
      <c r="E11" s="60">
        <f>B11*1.93</f>
        <v>1.93</v>
      </c>
      <c r="F11" s="60">
        <f>B11*67.13</f>
        <v>67.13</v>
      </c>
      <c r="G11" s="60">
        <v>0</v>
      </c>
      <c r="H11" s="60">
        <v>0</v>
      </c>
      <c r="I11" s="60">
        <f>B11*9.1</f>
        <v>9.1</v>
      </c>
      <c r="J11" s="60">
        <f>IF(AI11&lt;=4,B11*(107.2-9.1),B11*(142.8-9.1))</f>
        <v>98.100000000000009</v>
      </c>
      <c r="K11" s="60">
        <f>B11*7.75</f>
        <v>7.75</v>
      </c>
      <c r="L11" s="60">
        <f>B11*13.48</f>
        <v>13.48</v>
      </c>
      <c r="M11" s="60">
        <v>0.71</v>
      </c>
      <c r="N11" s="60">
        <f t="shared" si="0"/>
        <v>1.92</v>
      </c>
      <c r="O11" s="60">
        <f t="shared" si="1"/>
        <v>2.04</v>
      </c>
      <c r="P11" s="60">
        <f t="shared" si="2"/>
        <v>2.5300000000000003E-2</v>
      </c>
      <c r="Q11" s="60">
        <f t="shared" si="3"/>
        <v>0.99934999999999996</v>
      </c>
      <c r="R11" s="61">
        <f t="shared" si="4"/>
        <v>1</v>
      </c>
      <c r="S11" s="60">
        <f t="shared" si="5"/>
        <v>0.16700000000000001</v>
      </c>
      <c r="T11" s="60">
        <f t="shared" si="6"/>
        <v>5.14</v>
      </c>
      <c r="U11" s="60">
        <f t="shared" si="7"/>
        <v>26.06</v>
      </c>
      <c r="V11" s="61">
        <f t="shared" si="8"/>
        <v>1</v>
      </c>
      <c r="W11" s="60">
        <f>IF(AND(AK11&gt;=0.8,AK11&lt;=2),0.91*B11,1.02*B11)</f>
        <v>1.02</v>
      </c>
      <c r="X11" s="60">
        <v>0</v>
      </c>
      <c r="Y11" s="60">
        <f>IF(AND(AK11&gt;=0.8,AK11&lt;=2),(((2.3817*2+2.28)*1.208+2.51*0.888)*B11),(((2.38*17*2+2.28)*1.578+2.51*0.888)*B11))</f>
        <v>133.51848000000001</v>
      </c>
      <c r="Z11" s="8">
        <f t="shared" si="9"/>
        <v>11.111111111111111</v>
      </c>
      <c r="AA11" s="8">
        <f t="shared" si="10"/>
        <v>1</v>
      </c>
      <c r="AB11" s="8">
        <f t="shared" si="11"/>
        <v>1</v>
      </c>
      <c r="AC11" s="8">
        <f t="shared" si="12"/>
        <v>8</v>
      </c>
      <c r="AD11" s="9">
        <f t="shared" si="13"/>
        <v>8.6943999999999999</v>
      </c>
      <c r="AE11" s="7"/>
      <c r="AH11" s="26"/>
      <c r="AI11" s="55">
        <v>4</v>
      </c>
      <c r="AJ11" s="55">
        <v>0.24</v>
      </c>
      <c r="AK11" s="38">
        <f>IF(AI11+0.12-AM11-0.18&gt;=0.4,AI11+0.12-AM11-0.16,0.4)</f>
        <v>2.04</v>
      </c>
      <c r="AL11" s="62">
        <f>IF(AND(AK11&gt;=0.8,AK11&lt;=2),0.16,0.18)</f>
        <v>0.18</v>
      </c>
      <c r="AM11" s="38">
        <v>1.92</v>
      </c>
      <c r="AN11" s="38">
        <f>AI11-AK11-1.2-0.12</f>
        <v>0.64</v>
      </c>
      <c r="AO11" s="38">
        <v>2.64</v>
      </c>
      <c r="AP11" s="38">
        <f>(3.58*3.58-2.58*2.58)</f>
        <v>6.1599999999999993</v>
      </c>
      <c r="AQ11" s="63"/>
    </row>
    <row r="12" spans="1:43" ht="21.95" hidden="1" customHeight="1" x14ac:dyDescent="0.15">
      <c r="A12" s="58" t="s">
        <v>108</v>
      </c>
      <c r="B12" s="59">
        <v>1</v>
      </c>
      <c r="C12" s="7" t="s">
        <v>126</v>
      </c>
      <c r="D12" s="60">
        <f>1.01*B12</f>
        <v>1.01</v>
      </c>
      <c r="E12" s="60">
        <f>B12*2.37</f>
        <v>2.37</v>
      </c>
      <c r="F12" s="60">
        <f>B12*85.25</f>
        <v>85.25</v>
      </c>
      <c r="G12" s="60">
        <v>0</v>
      </c>
      <c r="H12" s="60">
        <v>0</v>
      </c>
      <c r="I12" s="60">
        <f>B12*10</f>
        <v>10</v>
      </c>
      <c r="J12" s="60">
        <f>IF(AI12&lt;=4,B12*(115.8-10),B12*(154.2-10))</f>
        <v>105.8</v>
      </c>
      <c r="K12" s="60">
        <f>B12*10.87</f>
        <v>10.87</v>
      </c>
      <c r="L12" s="60">
        <f>B12*18.68</f>
        <v>18.68</v>
      </c>
      <c r="M12" s="60">
        <v>0.71</v>
      </c>
      <c r="N12" s="60">
        <f t="shared" si="0"/>
        <v>1.94</v>
      </c>
      <c r="O12" s="60">
        <f t="shared" si="1"/>
        <v>2.0149999999999997</v>
      </c>
      <c r="P12" s="60">
        <f t="shared" si="2"/>
        <v>2.5300000000000003E-2</v>
      </c>
      <c r="Q12" s="60">
        <f t="shared" si="3"/>
        <v>0.99934999999999996</v>
      </c>
      <c r="R12" s="61">
        <f t="shared" si="4"/>
        <v>1</v>
      </c>
      <c r="S12" s="60">
        <f t="shared" si="5"/>
        <v>0.16700000000000001</v>
      </c>
      <c r="T12" s="60">
        <f t="shared" si="6"/>
        <v>5.14</v>
      </c>
      <c r="U12" s="60">
        <f t="shared" si="7"/>
        <v>26.06</v>
      </c>
      <c r="V12" s="61">
        <f t="shared" si="8"/>
        <v>1</v>
      </c>
      <c r="W12" s="60">
        <f>IF(AND(AK12&gt;=0.8,AK12&lt;=2),1.34*B12,1.49*B12)</f>
        <v>1.49</v>
      </c>
      <c r="X12" s="60">
        <v>0</v>
      </c>
      <c r="Y12" s="60">
        <f>IF(AND(AK12&gt;=0.8,AK12&lt;=2),(((2.72*19*2+2.34)*1.208+2.51*0.888)*B12),(((2.72*19*2+2.34)*1.578+2.51*0.888)*B12))</f>
        <v>169.02348000000003</v>
      </c>
      <c r="Z12" s="8">
        <f t="shared" si="9"/>
        <v>11.111111111111111</v>
      </c>
      <c r="AA12" s="8">
        <f t="shared" si="10"/>
        <v>1</v>
      </c>
      <c r="AB12" s="8">
        <f t="shared" si="11"/>
        <v>1</v>
      </c>
      <c r="AC12" s="8">
        <f t="shared" si="12"/>
        <v>8</v>
      </c>
      <c r="AD12" s="9">
        <f t="shared" si="13"/>
        <v>8.0660000000000007</v>
      </c>
      <c r="AE12" s="7"/>
      <c r="AH12" s="26"/>
      <c r="AI12" s="55">
        <v>4</v>
      </c>
      <c r="AJ12" s="55">
        <v>0.24</v>
      </c>
      <c r="AK12" s="38">
        <f>IF(AI12+0.135-AM12-0.2&gt;=0.4,AI12+0.135-AM12-0.18,0.4)</f>
        <v>2.0149999999999997</v>
      </c>
      <c r="AL12" s="62">
        <f>IF(AND(AK12&gt;=0.8,AK12&lt;=2),0.18,0.2)</f>
        <v>0.2</v>
      </c>
      <c r="AM12" s="38">
        <v>1.94</v>
      </c>
      <c r="AN12" s="38">
        <f>AI12-AK12-1.35-0.135</f>
        <v>0.50000000000000022</v>
      </c>
      <c r="AO12" s="38">
        <v>2.64</v>
      </c>
      <c r="AP12" s="38">
        <f>(3.88*3.88-2.88*2.88)</f>
        <v>6.76</v>
      </c>
      <c r="AQ12" s="63"/>
    </row>
    <row r="13" spans="1:43" ht="21.95" hidden="1" customHeight="1" x14ac:dyDescent="0.15">
      <c r="A13" s="58" t="s">
        <v>108</v>
      </c>
      <c r="B13" s="59">
        <v>1</v>
      </c>
      <c r="C13" s="7" t="s">
        <v>127</v>
      </c>
      <c r="D13" s="60">
        <f>1.21*B13</f>
        <v>1.21</v>
      </c>
      <c r="E13" s="60">
        <f>B13*2.86</f>
        <v>2.86</v>
      </c>
      <c r="F13" s="60">
        <f>B13*199.27</f>
        <v>199.27</v>
      </c>
      <c r="G13" s="60">
        <v>0</v>
      </c>
      <c r="H13" s="60">
        <v>0</v>
      </c>
      <c r="I13" s="60">
        <f>B13*11.7</f>
        <v>11.7</v>
      </c>
      <c r="J13" s="60">
        <f>IF(AI13&lt;=4,B13*(123.2-11.7),B13*(163.7-11.7))</f>
        <v>111.5</v>
      </c>
      <c r="K13" s="60">
        <f>B13*15.28</f>
        <v>15.28</v>
      </c>
      <c r="L13" s="60">
        <f>B13*23.76</f>
        <v>23.76</v>
      </c>
      <c r="M13" s="60">
        <v>0.71</v>
      </c>
      <c r="N13" s="60">
        <f t="shared" si="0"/>
        <v>2.17</v>
      </c>
      <c r="O13" s="60">
        <f t="shared" si="1"/>
        <v>1.7800000000000005</v>
      </c>
      <c r="P13" s="60">
        <f t="shared" si="2"/>
        <v>2.5300000000000003E-2</v>
      </c>
      <c r="Q13" s="60">
        <f t="shared" si="3"/>
        <v>0.99934999999999996</v>
      </c>
      <c r="R13" s="61">
        <f t="shared" si="4"/>
        <v>1</v>
      </c>
      <c r="S13" s="60">
        <f t="shared" si="5"/>
        <v>0.16700000000000001</v>
      </c>
      <c r="T13" s="60">
        <f t="shared" si="6"/>
        <v>5.14</v>
      </c>
      <c r="U13" s="60">
        <f t="shared" si="7"/>
        <v>26.06</v>
      </c>
      <c r="V13" s="61">
        <f t="shared" si="8"/>
        <v>1</v>
      </c>
      <c r="W13" s="60">
        <f>IF(AND(AK13&gt;=0.8,AK13&lt;=2),1.85*B13,2.03*B13)</f>
        <v>1.85</v>
      </c>
      <c r="X13" s="60">
        <v>0</v>
      </c>
      <c r="Y13" s="60">
        <f>IF(AND(AK13&gt;=0.8,AK13&lt;=2),(((3.02*21*2+2.34)*1.208+2.51*0.888)*B13),(((3.02*21*2+2.34)*1.578+2.51*0.888)*B13))</f>
        <v>158.27832000000001</v>
      </c>
      <c r="Z13" s="8">
        <f t="shared" si="9"/>
        <v>11.111111111111111</v>
      </c>
      <c r="AA13" s="8">
        <f t="shared" si="10"/>
        <v>1</v>
      </c>
      <c r="AB13" s="8">
        <f t="shared" si="11"/>
        <v>1</v>
      </c>
      <c r="AC13" s="8">
        <f t="shared" si="12"/>
        <v>8</v>
      </c>
      <c r="AD13" s="9">
        <f t="shared" si="13"/>
        <v>8.2607999999999961</v>
      </c>
      <c r="AE13" s="7"/>
      <c r="AH13" s="26"/>
      <c r="AI13" s="55">
        <v>4</v>
      </c>
      <c r="AJ13" s="55">
        <v>0.24</v>
      </c>
      <c r="AK13" s="38">
        <f>IF(AI13+0.15-AM13-0.22&gt;=0.4,AI13+0.15-AM13-0.2,0.4)</f>
        <v>1.7800000000000005</v>
      </c>
      <c r="AL13" s="62">
        <f>IF(AND(AK13&gt;=0.8,AK13&lt;=2),0.2,0.22)</f>
        <v>0.2</v>
      </c>
      <c r="AM13" s="38">
        <v>2.17</v>
      </c>
      <c r="AN13" s="38">
        <f>AI13-AK13-1.5-0.15</f>
        <v>0.56999999999999973</v>
      </c>
      <c r="AO13" s="38">
        <v>2.64</v>
      </c>
      <c r="AP13" s="38">
        <f>(4.18*4.18-3.18*3.18)</f>
        <v>7.3599999999999959</v>
      </c>
      <c r="AQ13" s="63"/>
    </row>
    <row r="14" spans="1:43" ht="21.95" hidden="1" customHeight="1" x14ac:dyDescent="0.15">
      <c r="A14" s="58" t="s">
        <v>108</v>
      </c>
      <c r="B14" s="59">
        <v>1</v>
      </c>
      <c r="C14" s="7" t="s">
        <v>128</v>
      </c>
      <c r="D14" s="60">
        <f>1.21*B14</f>
        <v>1.21</v>
      </c>
      <c r="E14" s="60">
        <f>B14*2.86</f>
        <v>2.86</v>
      </c>
      <c r="F14" s="60">
        <f>B14*199.27</f>
        <v>199.27</v>
      </c>
      <c r="G14" s="60">
        <v>0</v>
      </c>
      <c r="H14" s="60">
        <v>0</v>
      </c>
      <c r="I14" s="60">
        <f>B14*11.7</f>
        <v>11.7</v>
      </c>
      <c r="J14" s="60">
        <f>IF(AI14&lt;=4,B14*(130.9-11.7),B14*(174.1-11.7))</f>
        <v>119.2</v>
      </c>
      <c r="K14" s="60">
        <f>B14*15.28</f>
        <v>15.28</v>
      </c>
      <c r="L14" s="60">
        <f>B14*23.76</f>
        <v>23.76</v>
      </c>
      <c r="M14" s="60">
        <v>0.71</v>
      </c>
      <c r="N14" s="60">
        <f t="shared" si="0"/>
        <v>2.17</v>
      </c>
      <c r="O14" s="60">
        <f t="shared" si="1"/>
        <v>1.7950000000000002</v>
      </c>
      <c r="P14" s="60">
        <f t="shared" si="2"/>
        <v>2.5300000000000003E-2</v>
      </c>
      <c r="Q14" s="60">
        <f t="shared" si="3"/>
        <v>0.99934999999999996</v>
      </c>
      <c r="R14" s="61">
        <f t="shared" si="4"/>
        <v>1</v>
      </c>
      <c r="S14" s="60">
        <f t="shared" si="5"/>
        <v>0.16700000000000001</v>
      </c>
      <c r="T14" s="60">
        <f t="shared" si="6"/>
        <v>5.14</v>
      </c>
      <c r="U14" s="60">
        <f t="shared" si="7"/>
        <v>26.06</v>
      </c>
      <c r="V14" s="61">
        <f t="shared" si="8"/>
        <v>1</v>
      </c>
      <c r="W14" s="60">
        <f>IF(AND(AK14&gt;=0.8,AK14&lt;=2),1.85*B14,2.03*B14)</f>
        <v>1.85</v>
      </c>
      <c r="X14" s="60">
        <v>0</v>
      </c>
      <c r="Y14" s="60">
        <f>IF(AND(AK14&gt;=0.8,AK14&lt;=2),(((3.02*21*2+2.34)*1.208+2.51*0.888)*B14),(((3.02*21*2+2.34)*1.578+2.51*0.888)*B14))</f>
        <v>158.27832000000001</v>
      </c>
      <c r="Z14" s="8">
        <f t="shared" si="9"/>
        <v>11.111111111111111</v>
      </c>
      <c r="AA14" s="8">
        <f t="shared" si="10"/>
        <v>1</v>
      </c>
      <c r="AB14" s="8">
        <f t="shared" si="11"/>
        <v>1</v>
      </c>
      <c r="AC14" s="8">
        <f t="shared" si="12"/>
        <v>8</v>
      </c>
      <c r="AD14" s="9">
        <f t="shared" si="13"/>
        <v>7.7851999999999988</v>
      </c>
      <c r="AE14" s="7"/>
      <c r="AH14" s="26"/>
      <c r="AI14" s="55">
        <v>4</v>
      </c>
      <c r="AJ14" s="55">
        <v>0.24</v>
      </c>
      <c r="AK14" s="38">
        <f>IF(AI14+0.165-AM14-0.22&gt;=0.4,AI14+0.165-AM14-0.2,0.4)</f>
        <v>1.7950000000000002</v>
      </c>
      <c r="AL14" s="62">
        <f>IF(AND(AK14&gt;=0.8,AK14&lt;=2),0.2,0.22)</f>
        <v>0.2</v>
      </c>
      <c r="AM14" s="38">
        <v>2.17</v>
      </c>
      <c r="AN14" s="38">
        <f>0.36+0.14</f>
        <v>0.5</v>
      </c>
      <c r="AO14" s="38">
        <v>2.64</v>
      </c>
      <c r="AP14" s="38">
        <f>(4.18*4.18-3.18*3.18)</f>
        <v>7.3599999999999959</v>
      </c>
      <c r="AQ14" s="63"/>
    </row>
    <row r="15" spans="1:43" ht="21.95" hidden="1" customHeight="1" x14ac:dyDescent="0.15">
      <c r="A15" s="58" t="s">
        <v>108</v>
      </c>
      <c r="B15" s="59">
        <v>1</v>
      </c>
      <c r="C15" s="7" t="s">
        <v>129</v>
      </c>
      <c r="D15" s="60">
        <f>1.43*B15</f>
        <v>1.43</v>
      </c>
      <c r="E15" s="60">
        <f>3.39*B15</f>
        <v>3.39</v>
      </c>
      <c r="F15" s="60">
        <f>B15*236.56</f>
        <v>236.56</v>
      </c>
      <c r="G15" s="60">
        <v>0</v>
      </c>
      <c r="H15" s="60">
        <v>0</v>
      </c>
      <c r="I15" s="60">
        <f>B15*13.3</f>
        <v>13.3</v>
      </c>
      <c r="J15" s="60">
        <f>IF(AI15&lt;=4,B15*(140.2-13.3),B15*(186.3-13.3))</f>
        <v>126.89999999999999</v>
      </c>
      <c r="K15" s="60">
        <f>B15*20.82</f>
        <v>20.82</v>
      </c>
      <c r="L15" s="60">
        <f>B15*29.53</f>
        <v>29.53</v>
      </c>
      <c r="M15" s="60">
        <v>0.71</v>
      </c>
      <c r="N15" s="60">
        <f t="shared" si="0"/>
        <v>2.41</v>
      </c>
      <c r="O15" s="60">
        <f t="shared" si="1"/>
        <v>1.5699999999999996</v>
      </c>
      <c r="P15" s="60">
        <f t="shared" si="2"/>
        <v>2.5300000000000003E-2</v>
      </c>
      <c r="Q15" s="60">
        <f t="shared" si="3"/>
        <v>0.99934999999999996</v>
      </c>
      <c r="R15" s="61">
        <f t="shared" si="4"/>
        <v>1</v>
      </c>
      <c r="S15" s="60">
        <f t="shared" si="5"/>
        <v>0.16700000000000001</v>
      </c>
      <c r="T15" s="60">
        <f t="shared" si="6"/>
        <v>5.14</v>
      </c>
      <c r="U15" s="60">
        <f t="shared" si="7"/>
        <v>26.06</v>
      </c>
      <c r="V15" s="61">
        <f t="shared" si="8"/>
        <v>1</v>
      </c>
      <c r="W15" s="60">
        <f>IF(AND(AK15&gt;=0.8,AK15&lt;=2),2.24*B15,2.46*B15)</f>
        <v>2.2400000000000002</v>
      </c>
      <c r="X15" s="60">
        <v>0</v>
      </c>
      <c r="Y15" s="60">
        <f>IF(AND(AK15&gt;=0.8,AK15&lt;=2),(((3.32*23*2+2.34)*1.578+2.51*0.888)*B15),((3.32*23*2+2.34)*1.998+2.51*0.888)*B15)</f>
        <v>246.91356000000002</v>
      </c>
      <c r="Z15" s="8">
        <f t="shared" si="9"/>
        <v>11.111111111111111</v>
      </c>
      <c r="AA15" s="8">
        <f t="shared" si="10"/>
        <v>1</v>
      </c>
      <c r="AB15" s="8">
        <f t="shared" si="11"/>
        <v>1</v>
      </c>
      <c r="AC15" s="8">
        <f t="shared" si="12"/>
        <v>8</v>
      </c>
      <c r="AD15" s="9">
        <f t="shared" si="13"/>
        <v>7.491200000000001</v>
      </c>
      <c r="AE15" s="7"/>
      <c r="AH15" s="26"/>
      <c r="AI15" s="55">
        <v>4</v>
      </c>
      <c r="AJ15" s="55">
        <v>0.24</v>
      </c>
      <c r="AK15" s="38">
        <f>IF(AI15+0.18-AM15-0.22&gt;=0.4,AI15+0.18-AM15-0.2,0.4)</f>
        <v>1.5699999999999996</v>
      </c>
      <c r="AL15" s="62">
        <f>IF(AND(AK15&gt;=0.8,AK15&lt;=2),0.2,0.22)</f>
        <v>0.2</v>
      </c>
      <c r="AM15" s="38">
        <v>2.41</v>
      </c>
      <c r="AN15" s="38">
        <f t="shared" ref="AN15:AN18" si="14">0.36+0.14</f>
        <v>0.5</v>
      </c>
      <c r="AO15" s="38">
        <v>2.64</v>
      </c>
      <c r="AP15" s="38">
        <f>(4.48*4.48-3.48*3.48)</f>
        <v>7.9600000000000026</v>
      </c>
      <c r="AQ15" s="63"/>
    </row>
    <row r="16" spans="1:43" ht="21.95" hidden="1" customHeight="1" x14ac:dyDescent="0.15">
      <c r="A16" s="58" t="s">
        <v>108</v>
      </c>
      <c r="B16" s="59">
        <v>1</v>
      </c>
      <c r="C16" s="7" t="s">
        <v>130</v>
      </c>
      <c r="D16" s="60">
        <f>1.88*B16</f>
        <v>1.88</v>
      </c>
      <c r="E16" s="60">
        <f>5.39*B16</f>
        <v>5.39</v>
      </c>
      <c r="F16" s="60">
        <f>B16*317.69</f>
        <v>317.69</v>
      </c>
      <c r="G16" s="60">
        <v>0</v>
      </c>
      <c r="H16" s="60">
        <v>0</v>
      </c>
      <c r="I16" s="60">
        <f>B16*15</f>
        <v>15</v>
      </c>
      <c r="J16" s="60">
        <f>IF(AI16&lt;=4,B16*(213.9-15),B16*(274.7-15))</f>
        <v>198.9</v>
      </c>
      <c r="K16" s="60">
        <f>B16*32.03</f>
        <v>32.03</v>
      </c>
      <c r="L16" s="60">
        <f>B16*35.68</f>
        <v>35.68</v>
      </c>
      <c r="M16" s="60">
        <v>0.71</v>
      </c>
      <c r="N16" s="60">
        <f t="shared" si="0"/>
        <v>2.75</v>
      </c>
      <c r="O16" s="60">
        <f t="shared" si="1"/>
        <v>1.2300000000000002</v>
      </c>
      <c r="P16" s="60">
        <f t="shared" si="2"/>
        <v>2.5300000000000003E-2</v>
      </c>
      <c r="Q16" s="60">
        <f t="shared" si="3"/>
        <v>0.99934999999999996</v>
      </c>
      <c r="R16" s="61">
        <f t="shared" si="4"/>
        <v>1</v>
      </c>
      <c r="S16" s="60">
        <f t="shared" si="5"/>
        <v>0.16700000000000001</v>
      </c>
      <c r="T16" s="60">
        <f t="shared" si="6"/>
        <v>5.14</v>
      </c>
      <c r="U16" s="60">
        <f t="shared" si="7"/>
        <v>26.06</v>
      </c>
      <c r="V16" s="61">
        <f t="shared" si="8"/>
        <v>1</v>
      </c>
      <c r="W16" s="60">
        <f>IF(AND(AK16&gt;=0.8,AK16&lt;=2),2.93*B16,3.19*B16)</f>
        <v>2.93</v>
      </c>
      <c r="X16" s="60">
        <v>0</v>
      </c>
      <c r="Y16" s="60">
        <f>IF(AND(AK16&gt;=0.8,AK16&lt;=2),(((3.62*27*2+2.34)*1.578+2.51*0.888)*B16),((3.62*27*2+2.34)*1.998+2.51*0.888)*B16)</f>
        <v>314.38884000000007</v>
      </c>
      <c r="Z16" s="8">
        <f t="shared" si="9"/>
        <v>11.111111111111111</v>
      </c>
      <c r="AA16" s="8">
        <f t="shared" si="10"/>
        <v>1</v>
      </c>
      <c r="AB16" s="8">
        <f t="shared" si="11"/>
        <v>1</v>
      </c>
      <c r="AC16" s="8">
        <f t="shared" si="12"/>
        <v>8</v>
      </c>
      <c r="AD16" s="9">
        <f t="shared" si="13"/>
        <v>7.1536000000000017</v>
      </c>
      <c r="AE16" s="7"/>
      <c r="AG16" s="1">
        <v>69.73</v>
      </c>
      <c r="AH16" s="26"/>
      <c r="AI16" s="55">
        <v>4</v>
      </c>
      <c r="AJ16" s="55">
        <v>0.24</v>
      </c>
      <c r="AK16" s="38">
        <f>IF(AI16+0.2-AM16-0.24&gt;=0.4,AI16+0.2-AM16-0.22,0.4)</f>
        <v>1.2300000000000002</v>
      </c>
      <c r="AL16" s="62">
        <f>IF(AND(AK16&gt;=0.8,AK16&lt;=2),0.22,0.24)</f>
        <v>0.22</v>
      </c>
      <c r="AM16" s="38">
        <v>2.75</v>
      </c>
      <c r="AN16" s="38">
        <f t="shared" si="14"/>
        <v>0.5</v>
      </c>
      <c r="AO16" s="38">
        <v>2.64</v>
      </c>
      <c r="AP16" s="38">
        <f>(5.04*5.04-4.04*4.04)</f>
        <v>9.0800000000000018</v>
      </c>
      <c r="AQ16" s="63"/>
    </row>
    <row r="17" spans="1:43" ht="21.95" hidden="1" customHeight="1" x14ac:dyDescent="0.15">
      <c r="A17" s="58" t="s">
        <v>108</v>
      </c>
      <c r="B17" s="59">
        <v>1</v>
      </c>
      <c r="C17" s="7" t="s">
        <v>131</v>
      </c>
      <c r="D17" s="60">
        <f>2.25*B17</f>
        <v>2.25</v>
      </c>
      <c r="E17" s="60">
        <f>6.46*B17</f>
        <v>6.46</v>
      </c>
      <c r="F17" s="60">
        <f>B17*380.63</f>
        <v>380.63</v>
      </c>
      <c r="G17" s="60">
        <v>0</v>
      </c>
      <c r="H17" s="60">
        <v>0</v>
      </c>
      <c r="I17" s="60">
        <f>B17*15</f>
        <v>15</v>
      </c>
      <c r="J17" s="60">
        <f>IF(AI17&lt;=4,B17*(213.9-15),B17*(274.7-15))</f>
        <v>198.9</v>
      </c>
      <c r="K17" s="60">
        <f>B17*42.22</f>
        <v>42.22</v>
      </c>
      <c r="L17" s="60">
        <f>B17*43.74</f>
        <v>43.74</v>
      </c>
      <c r="M17" s="60">
        <v>0.71</v>
      </c>
      <c r="N17" s="60">
        <f t="shared" si="0"/>
        <v>2.99</v>
      </c>
      <c r="O17" s="60">
        <f t="shared" si="1"/>
        <v>0.98999999999999955</v>
      </c>
      <c r="P17" s="60">
        <f t="shared" si="2"/>
        <v>2.5300000000000003E-2</v>
      </c>
      <c r="Q17" s="60">
        <f t="shared" si="3"/>
        <v>0.99934999999999996</v>
      </c>
      <c r="R17" s="61">
        <f t="shared" si="4"/>
        <v>1</v>
      </c>
      <c r="S17" s="60">
        <f t="shared" si="5"/>
        <v>0.16700000000000001</v>
      </c>
      <c r="T17" s="60">
        <f t="shared" si="6"/>
        <v>5.14</v>
      </c>
      <c r="U17" s="60">
        <f t="shared" si="7"/>
        <v>26.06</v>
      </c>
      <c r="V17" s="61">
        <f t="shared" si="8"/>
        <v>1</v>
      </c>
      <c r="W17" s="60">
        <f>IF(AND(AK17&gt;=0.8,AK17&lt;=2),3.94*B17,4.27*B17)</f>
        <v>3.94</v>
      </c>
      <c r="X17" s="60">
        <v>0</v>
      </c>
      <c r="Y17" s="60">
        <f>IF(AND(AK17&gt;=0.8,AK17&lt;=2),(((4.02*31*2+2.34)*1.578+2.51*0.888)*B17),((4.02*31*2+2.34)*1.998+2.51*0.888)*B17)</f>
        <v>399.22212000000002</v>
      </c>
      <c r="Z17" s="8">
        <f t="shared" si="9"/>
        <v>11.111111111111111</v>
      </c>
      <c r="AA17" s="8">
        <f t="shared" si="10"/>
        <v>1</v>
      </c>
      <c r="AB17" s="8">
        <f t="shared" si="11"/>
        <v>1</v>
      </c>
      <c r="AC17" s="8">
        <f t="shared" si="12"/>
        <v>8</v>
      </c>
      <c r="AD17" s="9">
        <f t="shared" si="13"/>
        <v>6.92</v>
      </c>
      <c r="AE17" s="7"/>
      <c r="AH17" s="26"/>
      <c r="AI17" s="55">
        <v>4</v>
      </c>
      <c r="AJ17" s="55">
        <v>0.24</v>
      </c>
      <c r="AK17" s="38">
        <f>IF(AI17+0.22-AM17-0.26&gt;=0.4,AI17+0.22-AM17-0.24,0.4)</f>
        <v>0.98999999999999955</v>
      </c>
      <c r="AL17" s="62">
        <f>IF(AND(AK17&gt;=0.8,AK17&lt;=2),0.24,0.26)</f>
        <v>0.24</v>
      </c>
      <c r="AM17" s="38">
        <v>2.99</v>
      </c>
      <c r="AN17" s="38">
        <f t="shared" si="14"/>
        <v>0.5</v>
      </c>
      <c r="AO17" s="38">
        <v>2.64</v>
      </c>
      <c r="AP17" s="38">
        <f>(5.44*5.44-4.44*4.44)</f>
        <v>9.8800000000000026</v>
      </c>
      <c r="AQ17" s="63"/>
    </row>
    <row r="18" spans="1:43" ht="21.95" hidden="1" customHeight="1" x14ac:dyDescent="0.15">
      <c r="A18" s="58" t="s">
        <v>108</v>
      </c>
      <c r="B18" s="59">
        <v>1</v>
      </c>
      <c r="C18" s="7" t="s">
        <v>132</v>
      </c>
      <c r="D18" s="60">
        <f>2.54*B18</f>
        <v>2.54</v>
      </c>
      <c r="E18" s="60">
        <f>7.32*B18</f>
        <v>7.32</v>
      </c>
      <c r="F18" s="60">
        <f>B18*587.09</f>
        <v>587.09</v>
      </c>
      <c r="G18" s="60">
        <v>0</v>
      </c>
      <c r="H18" s="60">
        <v>0</v>
      </c>
      <c r="I18" s="60">
        <f>B18*15</f>
        <v>15</v>
      </c>
      <c r="J18" s="60">
        <f>IF(AI18&lt;=4,B18*(213.9-15),B18*(274.7-15))</f>
        <v>198.9</v>
      </c>
      <c r="K18" s="60">
        <f>B18*51.89</f>
        <v>51.89</v>
      </c>
      <c r="L18" s="60">
        <f>B18*51.15</f>
        <v>51.15</v>
      </c>
      <c r="M18" s="60">
        <v>0.71</v>
      </c>
      <c r="N18" s="60">
        <f t="shared" si="0"/>
        <v>3.23</v>
      </c>
      <c r="O18" s="60">
        <f t="shared" si="1"/>
        <v>0.77000000000000024</v>
      </c>
      <c r="P18" s="60">
        <f t="shared" si="2"/>
        <v>2.5300000000000003E-2</v>
      </c>
      <c r="Q18" s="60">
        <f t="shared" si="3"/>
        <v>0.99934999999999996</v>
      </c>
      <c r="R18" s="61">
        <f t="shared" si="4"/>
        <v>1</v>
      </c>
      <c r="S18" s="60">
        <f t="shared" si="5"/>
        <v>0.16700000000000001</v>
      </c>
      <c r="T18" s="60">
        <f t="shared" si="6"/>
        <v>5.14</v>
      </c>
      <c r="U18" s="60">
        <f t="shared" si="7"/>
        <v>26.06</v>
      </c>
      <c r="V18" s="61">
        <f t="shared" si="8"/>
        <v>1</v>
      </c>
      <c r="W18" s="60">
        <f>IF(AND(AK18&gt;=0.8,AK18&lt;=2),4.56*B18,4.93*B18)</f>
        <v>4.93</v>
      </c>
      <c r="X18" s="60">
        <v>0</v>
      </c>
      <c r="Y18" s="60">
        <f>IF(AND(AK18&gt;=0.8,AK18&lt;=2),(((4.32*34*2+2.51)*1.998+2.51*0.888)*B18),((4.32*34*2+2.34)*2.466+2.51*0.888)*B18)</f>
        <v>732.41147999999998</v>
      </c>
      <c r="Z18" s="8">
        <f t="shared" si="9"/>
        <v>11.111111111111111</v>
      </c>
      <c r="AA18" s="8">
        <f t="shared" si="10"/>
        <v>1</v>
      </c>
      <c r="AB18" s="8">
        <f t="shared" si="11"/>
        <v>1</v>
      </c>
      <c r="AC18" s="8">
        <f t="shared" si="12"/>
        <v>8</v>
      </c>
      <c r="AD18" s="9">
        <f t="shared" si="13"/>
        <v>6.6392000000000007</v>
      </c>
      <c r="AE18" s="7"/>
      <c r="AH18" s="26"/>
      <c r="AI18" s="55">
        <v>4</v>
      </c>
      <c r="AJ18" s="55">
        <v>0.24</v>
      </c>
      <c r="AK18" s="38">
        <f>IF(AI18+0.24-AM18-0.26&gt;=0.4,AI18+0.24-AM18-0.24,0.4)</f>
        <v>0.77000000000000024</v>
      </c>
      <c r="AL18" s="62">
        <f>IF(AND(AK18&gt;=0.8,AK18&lt;=2),0.24,0.26)</f>
        <v>0.26</v>
      </c>
      <c r="AM18" s="38">
        <v>3.23</v>
      </c>
      <c r="AN18" s="38">
        <f t="shared" si="14"/>
        <v>0.5</v>
      </c>
      <c r="AO18" s="38">
        <v>2.64</v>
      </c>
      <c r="AP18" s="38">
        <f>(5.74*5.74-4.74*4.74)</f>
        <v>10.48</v>
      </c>
      <c r="AQ18" s="63"/>
    </row>
    <row r="19" spans="1:43" ht="21.95" hidden="1" customHeight="1" x14ac:dyDescent="0.15">
      <c r="A19" s="58" t="s">
        <v>27</v>
      </c>
      <c r="B19" s="59">
        <f>SUM(B10:B18)</f>
        <v>9</v>
      </c>
      <c r="C19" s="7" t="s">
        <v>82</v>
      </c>
      <c r="D19" s="60">
        <f t="shared" ref="D19:AD19" si="15">SUM(D10:D18)</f>
        <v>12.98</v>
      </c>
      <c r="E19" s="60">
        <f t="shared" si="15"/>
        <v>34</v>
      </c>
      <c r="F19" s="60">
        <f t="shared" si="15"/>
        <v>2121.9100000000003</v>
      </c>
      <c r="G19" s="60">
        <f t="shared" si="15"/>
        <v>0</v>
      </c>
      <c r="H19" s="60">
        <f t="shared" si="15"/>
        <v>0</v>
      </c>
      <c r="I19" s="60">
        <f t="shared" si="15"/>
        <v>108.39999999999999</v>
      </c>
      <c r="J19" s="60">
        <f t="shared" si="15"/>
        <v>1248.7</v>
      </c>
      <c r="K19" s="60">
        <f t="shared" si="15"/>
        <v>201.26999999999998</v>
      </c>
      <c r="L19" s="60">
        <f t="shared" si="15"/>
        <v>248.90000000000003</v>
      </c>
      <c r="M19" s="60">
        <f t="shared" si="15"/>
        <v>6.39</v>
      </c>
      <c r="N19" s="60">
        <f t="shared" si="15"/>
        <v>21.48</v>
      </c>
      <c r="O19" s="60">
        <f t="shared" si="15"/>
        <v>14.25</v>
      </c>
      <c r="P19" s="60">
        <f t="shared" si="15"/>
        <v>0.22769999999999996</v>
      </c>
      <c r="Q19" s="60">
        <f t="shared" si="15"/>
        <v>8.9941499999999994</v>
      </c>
      <c r="R19" s="61">
        <f t="shared" si="15"/>
        <v>9</v>
      </c>
      <c r="S19" s="60">
        <f t="shared" si="15"/>
        <v>1.5030000000000001</v>
      </c>
      <c r="T19" s="60">
        <f t="shared" si="15"/>
        <v>46.26</v>
      </c>
      <c r="U19" s="60">
        <f t="shared" si="15"/>
        <v>234.54</v>
      </c>
      <c r="V19" s="61">
        <f t="shared" si="15"/>
        <v>9</v>
      </c>
      <c r="W19" s="60">
        <f t="shared" si="15"/>
        <v>20.869999999999997</v>
      </c>
      <c r="X19" s="60">
        <f t="shared" si="15"/>
        <v>0</v>
      </c>
      <c r="Y19" s="60">
        <f t="shared" si="15"/>
        <v>2405.3456400000005</v>
      </c>
      <c r="Z19" s="8">
        <f t="shared" si="15"/>
        <v>100.00000000000001</v>
      </c>
      <c r="AA19" s="8">
        <f t="shared" si="15"/>
        <v>9</v>
      </c>
      <c r="AB19" s="8">
        <f t="shared" si="15"/>
        <v>9</v>
      </c>
      <c r="AC19" s="8">
        <f t="shared" si="15"/>
        <v>72</v>
      </c>
      <c r="AD19" s="9">
        <f t="shared" si="15"/>
        <v>70.317599999999999</v>
      </c>
      <c r="AE19" s="7"/>
      <c r="AH19" s="26"/>
      <c r="AI19" s="55"/>
      <c r="AJ19" s="55"/>
      <c r="AK19" s="38"/>
      <c r="AL19" s="62"/>
      <c r="AM19" s="38"/>
      <c r="AN19" s="38"/>
      <c r="AO19" s="38"/>
      <c r="AP19" s="38"/>
      <c r="AQ19" s="63"/>
    </row>
    <row r="20" spans="1:43" ht="21.95" customHeight="1" x14ac:dyDescent="0.15">
      <c r="A20" s="383" t="s">
        <v>133</v>
      </c>
      <c r="B20" s="383"/>
      <c r="C20" s="383"/>
      <c r="D20" s="383"/>
      <c r="E20" s="383"/>
      <c r="F20" s="383"/>
      <c r="G20" s="383"/>
      <c r="H20" s="383"/>
      <c r="I20" s="383"/>
      <c r="J20" s="383"/>
      <c r="K20" s="383"/>
      <c r="L20" s="383"/>
      <c r="M20" s="383"/>
      <c r="N20" s="383"/>
      <c r="O20" s="383"/>
      <c r="P20" s="383"/>
      <c r="Q20" s="383"/>
      <c r="R20" s="383"/>
      <c r="S20" s="383"/>
      <c r="T20" s="383"/>
      <c r="U20" s="383"/>
      <c r="V20" s="383"/>
      <c r="W20" s="383"/>
      <c r="X20" s="383"/>
      <c r="Y20" s="383"/>
      <c r="Z20" s="383"/>
      <c r="AA20" s="383"/>
      <c r="AB20" s="383"/>
      <c r="AC20" s="383"/>
      <c r="AD20" s="383"/>
      <c r="AE20" s="383"/>
      <c r="AI20" s="53" t="s">
        <v>73</v>
      </c>
      <c r="AJ20" s="55" t="s">
        <v>74</v>
      </c>
      <c r="AK20" s="43" t="s">
        <v>75</v>
      </c>
      <c r="AL20" s="56" t="s">
        <v>101</v>
      </c>
      <c r="AM20" s="43" t="s">
        <v>76</v>
      </c>
      <c r="AN20" s="43" t="s">
        <v>77</v>
      </c>
      <c r="AO20" s="43" t="s">
        <v>78</v>
      </c>
      <c r="AP20" s="57" t="s">
        <v>79</v>
      </c>
      <c r="AQ20" s="40"/>
    </row>
    <row r="21" spans="1:43" ht="21.95" customHeight="1" x14ac:dyDescent="0.15">
      <c r="A21" s="58" t="s">
        <v>108</v>
      </c>
      <c r="B21" s="59"/>
      <c r="C21" s="7" t="s">
        <v>124</v>
      </c>
      <c r="D21" s="60">
        <f>0.89*B21</f>
        <v>0</v>
      </c>
      <c r="E21" s="60">
        <f>B21*2.49</f>
        <v>0</v>
      </c>
      <c r="F21" s="60">
        <f>B21*101.47</f>
        <v>0</v>
      </c>
      <c r="G21" s="60">
        <v>0</v>
      </c>
      <c r="H21" s="60">
        <v>0</v>
      </c>
      <c r="I21" s="60">
        <f>B21*7.6</f>
        <v>0</v>
      </c>
      <c r="J21" s="60">
        <f>IF(AI21&lt;=4,B21*(98.1-7.6),B21*(131.6-7.6))</f>
        <v>0</v>
      </c>
      <c r="K21" s="60">
        <f>B21*9.28</f>
        <v>0</v>
      </c>
      <c r="L21" s="60">
        <f>B21*27.61</f>
        <v>0</v>
      </c>
      <c r="M21" s="60">
        <v>0.71</v>
      </c>
      <c r="N21" s="60">
        <f t="shared" ref="N21:N28" si="16">AM21</f>
        <v>1.9</v>
      </c>
      <c r="O21" s="60">
        <f t="shared" ref="O21:O28" si="17">AK21</f>
        <v>2.0599999999999996</v>
      </c>
      <c r="P21" s="60">
        <f t="shared" ref="P21:P28" si="18">0.253*0.1*B21</f>
        <v>0</v>
      </c>
      <c r="Q21" s="60">
        <f t="shared" ref="Q21:Q28" si="19">2.53*0.395*B21</f>
        <v>0</v>
      </c>
      <c r="R21" s="61">
        <f t="shared" ref="R21:R28" si="20">B21</f>
        <v>0</v>
      </c>
      <c r="S21" s="60">
        <f t="shared" ref="S21:S28" si="21">0.167*B21</f>
        <v>0</v>
      </c>
      <c r="T21" s="60">
        <f t="shared" ref="T21:T28" si="22">5.14*B21</f>
        <v>0</v>
      </c>
      <c r="U21" s="60">
        <f t="shared" ref="U21:U28" si="23">(31.2-5.14)*B21</f>
        <v>0</v>
      </c>
      <c r="V21" s="61">
        <f t="shared" ref="V21:V28" si="24">B21</f>
        <v>0</v>
      </c>
      <c r="W21" s="60">
        <f>IF(AND(AK21&gt;=0.8,AK21&lt;=2),0.54*B21,0.62*B21)</f>
        <v>0</v>
      </c>
      <c r="X21" s="60">
        <v>0</v>
      </c>
      <c r="Y21" s="60">
        <f>IF(AND(AK21&gt;=0.8,AK21&lt;=2),(((1.98*14*2+2.28)*1.208+2.51*0.888)*B21),(((1.98*14*2+2.28)*1.578+2.51*0.888)*B21))</f>
        <v>0</v>
      </c>
      <c r="Z21" s="8">
        <f t="shared" ref="Z21:Z28" si="25">AI21/0.36*B21</f>
        <v>0</v>
      </c>
      <c r="AA21" s="8">
        <f t="shared" ref="AA21:AA28" si="26">B21*1</f>
        <v>0</v>
      </c>
      <c r="AB21" s="8">
        <f t="shared" ref="AB21:AB28" si="27">AA21</f>
        <v>0</v>
      </c>
      <c r="AC21" s="8">
        <f t="shared" ref="AC21:AC28" si="28">8*B21</f>
        <v>0</v>
      </c>
      <c r="AD21" s="9">
        <f t="shared" ref="AD21:AD28" si="29">IF(AK21&gt;=AJ21,((AK21-AJ21)*AO21+AN21*AP21)*B21,((AN21+AK21-AJ21)*AP21)*B21)</f>
        <v>0</v>
      </c>
      <c r="AE21" s="7"/>
      <c r="AH21" s="26"/>
      <c r="AI21" s="55">
        <v>4</v>
      </c>
      <c r="AJ21" s="55">
        <v>0.24</v>
      </c>
      <c r="AK21" s="38">
        <f>IF(AI21+0.1-AM21-0.16&gt;=0.4,AI21+0.1-AM21-0.14,0.4)</f>
        <v>2.0599999999999996</v>
      </c>
      <c r="AL21" s="62">
        <f>IF(AND(AK21&gt;=0.8,AK21&lt;=2),0.14,0.16)</f>
        <v>0.16</v>
      </c>
      <c r="AM21" s="38">
        <v>1.9</v>
      </c>
      <c r="AN21" s="38">
        <f>AI21-AK21-1-0.1</f>
        <v>0.84000000000000041</v>
      </c>
      <c r="AO21" s="38">
        <v>2.64</v>
      </c>
      <c r="AP21" s="38">
        <f>(3.68*3.68-2.68*2.68)</f>
        <v>6.3599999999999994</v>
      </c>
      <c r="AQ21" s="63"/>
    </row>
    <row r="22" spans="1:43" ht="21.95" customHeight="1" x14ac:dyDescent="0.15">
      <c r="A22" s="58" t="s">
        <v>108</v>
      </c>
      <c r="B22" s="59"/>
      <c r="C22" s="7" t="s">
        <v>125</v>
      </c>
      <c r="D22" s="60">
        <f>1.14*B22</f>
        <v>0</v>
      </c>
      <c r="E22" s="60">
        <f>B22*3.23</f>
        <v>0</v>
      </c>
      <c r="F22" s="60">
        <f>B22*131.43</f>
        <v>0</v>
      </c>
      <c r="G22" s="60">
        <v>0</v>
      </c>
      <c r="H22" s="60">
        <v>0</v>
      </c>
      <c r="I22" s="60">
        <f>B22*9.1</f>
        <v>0</v>
      </c>
      <c r="J22" s="60">
        <f>IF(AI22&lt;=4,B22*(107.2-9.1),B22*(142.8-9.1))</f>
        <v>0</v>
      </c>
      <c r="K22" s="60">
        <f>B22*12.56</f>
        <v>0</v>
      </c>
      <c r="L22" s="60">
        <f>B22*34.63</f>
        <v>0</v>
      </c>
      <c r="M22" s="60">
        <v>0.71</v>
      </c>
      <c r="N22" s="60">
        <f t="shared" si="16"/>
        <v>1.92</v>
      </c>
      <c r="O22" s="60">
        <f t="shared" si="17"/>
        <v>2.04</v>
      </c>
      <c r="P22" s="60">
        <f t="shared" si="18"/>
        <v>0</v>
      </c>
      <c r="Q22" s="60">
        <f t="shared" si="19"/>
        <v>0</v>
      </c>
      <c r="R22" s="61">
        <f t="shared" si="20"/>
        <v>0</v>
      </c>
      <c r="S22" s="60">
        <f t="shared" si="21"/>
        <v>0</v>
      </c>
      <c r="T22" s="60">
        <f t="shared" si="22"/>
        <v>0</v>
      </c>
      <c r="U22" s="60">
        <f t="shared" si="23"/>
        <v>0</v>
      </c>
      <c r="V22" s="61">
        <f t="shared" si="24"/>
        <v>0</v>
      </c>
      <c r="W22" s="60">
        <f>IF(AND(AK22&gt;=0.8,AK22&lt;=2),0.91*B22,1.02*B22)</f>
        <v>0</v>
      </c>
      <c r="X22" s="60">
        <v>0</v>
      </c>
      <c r="Y22" s="60">
        <f>IF(AND(AK22&gt;=0.8,AK22&lt;=2),(((2.3817*2+2.28)*1.208+2.51*0.888)*B22),(((2.38*17*2+2.28)*1.578+2.51*0.888)*B22))</f>
        <v>0</v>
      </c>
      <c r="Z22" s="8">
        <f t="shared" si="25"/>
        <v>0</v>
      </c>
      <c r="AA22" s="8">
        <f t="shared" si="26"/>
        <v>0</v>
      </c>
      <c r="AB22" s="8">
        <f t="shared" si="27"/>
        <v>0</v>
      </c>
      <c r="AC22" s="8">
        <f t="shared" si="28"/>
        <v>0</v>
      </c>
      <c r="AD22" s="9">
        <f t="shared" si="29"/>
        <v>0</v>
      </c>
      <c r="AE22" s="7"/>
      <c r="AH22" s="26"/>
      <c r="AI22" s="55">
        <v>4</v>
      </c>
      <c r="AJ22" s="55">
        <v>0.24</v>
      </c>
      <c r="AK22" s="38">
        <f>IF(AI22+0.12-AM22-0.18&gt;=0.4,AI22+0.12-AM22-0.16,0.4)</f>
        <v>2.04</v>
      </c>
      <c r="AL22" s="62">
        <f>IF(AND(AK22&gt;=0.8,AK22&lt;=2),0.16,0.18)</f>
        <v>0.18</v>
      </c>
      <c r="AM22" s="38">
        <v>1.92</v>
      </c>
      <c r="AN22" s="38">
        <f>AI22-AK22-1.2-0.12</f>
        <v>0.64</v>
      </c>
      <c r="AO22" s="38">
        <v>2.64</v>
      </c>
      <c r="AP22" s="38">
        <f>(4.08*4.08-3.08*3.08)</f>
        <v>7.16</v>
      </c>
      <c r="AQ22" s="63"/>
    </row>
    <row r="23" spans="1:43" ht="21.95" customHeight="1" x14ac:dyDescent="0.15">
      <c r="A23" s="58" t="s">
        <v>108</v>
      </c>
      <c r="B23" s="59"/>
      <c r="C23" s="7" t="s">
        <v>126</v>
      </c>
      <c r="D23" s="60">
        <f>1.35*B23</f>
        <v>0</v>
      </c>
      <c r="E23" s="60">
        <f>B23*3.84</f>
        <v>0</v>
      </c>
      <c r="F23" s="60">
        <f>B23*152.21</f>
        <v>0</v>
      </c>
      <c r="G23" s="60">
        <v>0</v>
      </c>
      <c r="H23" s="60">
        <v>0</v>
      </c>
      <c r="I23" s="60">
        <f>B23*10</f>
        <v>0</v>
      </c>
      <c r="J23" s="60">
        <f>IF(AI23&lt;=4,B23*(115.8-10),B23*(154.2-10))</f>
        <v>0</v>
      </c>
      <c r="K23" s="60">
        <f>B23*16.02</f>
        <v>0</v>
      </c>
      <c r="L23" s="60">
        <f>B23*41.23</f>
        <v>0</v>
      </c>
      <c r="M23" s="60">
        <v>0.71</v>
      </c>
      <c r="N23" s="60">
        <f t="shared" si="16"/>
        <v>1.94</v>
      </c>
      <c r="O23" s="60">
        <f t="shared" si="17"/>
        <v>2.0149999999999997</v>
      </c>
      <c r="P23" s="60">
        <f t="shared" si="18"/>
        <v>0</v>
      </c>
      <c r="Q23" s="60">
        <f t="shared" si="19"/>
        <v>0</v>
      </c>
      <c r="R23" s="61">
        <f t="shared" si="20"/>
        <v>0</v>
      </c>
      <c r="S23" s="60">
        <f t="shared" si="21"/>
        <v>0</v>
      </c>
      <c r="T23" s="60">
        <f t="shared" si="22"/>
        <v>0</v>
      </c>
      <c r="U23" s="60">
        <f t="shared" si="23"/>
        <v>0</v>
      </c>
      <c r="V23" s="61">
        <f t="shared" si="24"/>
        <v>0</v>
      </c>
      <c r="W23" s="60">
        <f>IF(AND(AK23&gt;=0.8,AK23&lt;=2),1.34*B23,1.49*B23)</f>
        <v>0</v>
      </c>
      <c r="X23" s="60">
        <v>0</v>
      </c>
      <c r="Y23" s="60">
        <f>IF(AND(AK23&gt;=0.8,AK23&lt;=2),(((2.72*19*2+2.34)*1.208+2.51*0.888)*B23),(((2.72*19*2+2.34)*1.578+2.51*0.888)*B23))</f>
        <v>0</v>
      </c>
      <c r="Z23" s="8">
        <f t="shared" si="25"/>
        <v>0</v>
      </c>
      <c r="AA23" s="8">
        <f t="shared" si="26"/>
        <v>0</v>
      </c>
      <c r="AB23" s="8">
        <f t="shared" si="27"/>
        <v>0</v>
      </c>
      <c r="AC23" s="8">
        <f t="shared" si="28"/>
        <v>0</v>
      </c>
      <c r="AD23" s="9">
        <f t="shared" si="29"/>
        <v>0</v>
      </c>
      <c r="AE23" s="7"/>
      <c r="AH23" s="26"/>
      <c r="AI23" s="55">
        <v>4</v>
      </c>
      <c r="AJ23" s="55">
        <v>0.24</v>
      </c>
      <c r="AK23" s="38">
        <f>IF(AI23+0.135-AM23-0.2&gt;=0.4,AI23+0.135-AM23-0.18,0.4)</f>
        <v>2.0149999999999997</v>
      </c>
      <c r="AL23" s="62">
        <f>IF(AND(AK23&gt;=0.8,AK23&lt;=2),0.18,0.2)</f>
        <v>0.2</v>
      </c>
      <c r="AM23" s="38">
        <v>1.94</v>
      </c>
      <c r="AN23" s="38">
        <f>AI23-AK23-1.35-0.135</f>
        <v>0.50000000000000022</v>
      </c>
      <c r="AO23" s="38">
        <v>2.64</v>
      </c>
      <c r="AP23" s="38">
        <f>(4.38*4.38-3.38*3.38)</f>
        <v>7.7600000000000016</v>
      </c>
      <c r="AQ23" s="63"/>
    </row>
    <row r="24" spans="1:43" ht="21.95" customHeight="1" x14ac:dyDescent="0.15">
      <c r="A24" s="58" t="s">
        <v>108</v>
      </c>
      <c r="B24" s="59">
        <v>2</v>
      </c>
      <c r="C24" s="7" t="s">
        <v>127</v>
      </c>
      <c r="D24" s="60">
        <f>1.58*B24</f>
        <v>3.16</v>
      </c>
      <c r="E24" s="60">
        <f>B24*4.52</f>
        <v>9.0399999999999991</v>
      </c>
      <c r="F24" s="60">
        <f>B24*358.05</f>
        <v>716.1</v>
      </c>
      <c r="G24" s="60">
        <v>0</v>
      </c>
      <c r="H24" s="60">
        <v>0</v>
      </c>
      <c r="I24" s="60">
        <f>B24*11.7</f>
        <v>23.4</v>
      </c>
      <c r="J24" s="60">
        <f>IF(AI24&lt;=4,B24*(123.2-11.7),B24*(163.7-11.7))</f>
        <v>223</v>
      </c>
      <c r="K24" s="60">
        <f>B24*21.58</f>
        <v>43.16</v>
      </c>
      <c r="L24" s="60">
        <f>B24*51.12</f>
        <v>102.24</v>
      </c>
      <c r="M24" s="60">
        <v>0.71</v>
      </c>
      <c r="N24" s="60">
        <f t="shared" si="16"/>
        <v>2.17</v>
      </c>
      <c r="O24" s="60">
        <f t="shared" si="17"/>
        <v>1.28</v>
      </c>
      <c r="P24" s="60">
        <f t="shared" si="18"/>
        <v>5.0600000000000006E-2</v>
      </c>
      <c r="Q24" s="60">
        <f t="shared" si="19"/>
        <v>1.9986999999999999</v>
      </c>
      <c r="R24" s="61">
        <f t="shared" si="20"/>
        <v>2</v>
      </c>
      <c r="S24" s="60">
        <f>0.1*B24</f>
        <v>0.2</v>
      </c>
      <c r="T24" s="60">
        <f>4.83*B24</f>
        <v>9.66</v>
      </c>
      <c r="U24" s="60">
        <f>(21.38-4.83)*B24</f>
        <v>33.099999999999994</v>
      </c>
      <c r="V24" s="61">
        <f t="shared" si="24"/>
        <v>2</v>
      </c>
      <c r="W24" s="60">
        <f>IF(AND(AK24&gt;=0.8,AK24&lt;=2),1.85*B24,2.03*B24)</f>
        <v>3.7</v>
      </c>
      <c r="X24" s="60">
        <v>0</v>
      </c>
      <c r="Y24" s="60">
        <f>IF(AND(AK24&gt;=0.8,AK24&lt;=2),(((3.02*21*2+2.34)*1.208+2.51*0.888)*B24),(((3.02*21*2+2.34)*1.578+2.51*0.888)*B24))</f>
        <v>316.55664000000002</v>
      </c>
      <c r="Z24" s="8">
        <f t="shared" si="25"/>
        <v>19.444444444444446</v>
      </c>
      <c r="AA24" s="8">
        <f t="shared" si="26"/>
        <v>2</v>
      </c>
      <c r="AB24" s="8">
        <f t="shared" si="27"/>
        <v>2</v>
      </c>
      <c r="AC24" s="8">
        <f t="shared" si="28"/>
        <v>16</v>
      </c>
      <c r="AD24" s="9">
        <f t="shared" si="29"/>
        <v>15.021599999999992</v>
      </c>
      <c r="AE24" s="7"/>
      <c r="AH24" s="26"/>
      <c r="AI24" s="55">
        <v>3.5</v>
      </c>
      <c r="AJ24" s="55">
        <v>0.24</v>
      </c>
      <c r="AK24" s="38">
        <f>IF(AI24+0.15-AM24-0.22&gt;=0.4,AI24+0.15-AM24-0.2,0.4)</f>
        <v>1.28</v>
      </c>
      <c r="AL24" s="62">
        <f>IF(AND(AK24&gt;=0.8,AK24&lt;=2),0.2,0.22)</f>
        <v>0.2</v>
      </c>
      <c r="AM24" s="38">
        <v>2.17</v>
      </c>
      <c r="AN24" s="38">
        <f>AI24-AK24-1.5-0.15</f>
        <v>0.56999999999999973</v>
      </c>
      <c r="AO24" s="38">
        <v>2.64</v>
      </c>
      <c r="AP24" s="38">
        <f>(4.68*4.68-3.68*3.68)</f>
        <v>8.3599999999999959</v>
      </c>
      <c r="AQ24" s="63"/>
    </row>
    <row r="25" spans="1:43" ht="21.95" customHeight="1" x14ac:dyDescent="0.15">
      <c r="A25" s="58" t="s">
        <v>108</v>
      </c>
      <c r="B25" s="59"/>
      <c r="C25" s="7" t="s">
        <v>128</v>
      </c>
      <c r="D25" s="60">
        <f>1.58*B25</f>
        <v>0</v>
      </c>
      <c r="E25" s="60">
        <f>B25*4.52</f>
        <v>0</v>
      </c>
      <c r="F25" s="60">
        <f>B25*358.05</f>
        <v>0</v>
      </c>
      <c r="G25" s="60">
        <v>0</v>
      </c>
      <c r="H25" s="60">
        <v>0</v>
      </c>
      <c r="I25" s="60">
        <f>B25*11.7</f>
        <v>0</v>
      </c>
      <c r="J25" s="60">
        <f>IF(AI25&lt;=4,B25*(130.9-11.7),B25*(174.1-11.7))</f>
        <v>0</v>
      </c>
      <c r="K25" s="60">
        <f>B25*21.58</f>
        <v>0</v>
      </c>
      <c r="L25" s="60">
        <f>B25*51.12</f>
        <v>0</v>
      </c>
      <c r="M25" s="60">
        <v>0.71</v>
      </c>
      <c r="N25" s="60">
        <f t="shared" si="16"/>
        <v>2.17</v>
      </c>
      <c r="O25" s="60">
        <f t="shared" si="17"/>
        <v>1.7950000000000002</v>
      </c>
      <c r="P25" s="60">
        <f t="shared" si="18"/>
        <v>0</v>
      </c>
      <c r="Q25" s="60">
        <f t="shared" si="19"/>
        <v>0</v>
      </c>
      <c r="R25" s="61">
        <f t="shared" si="20"/>
        <v>0</v>
      </c>
      <c r="S25" s="60">
        <f t="shared" si="21"/>
        <v>0</v>
      </c>
      <c r="T25" s="60">
        <f t="shared" si="22"/>
        <v>0</v>
      </c>
      <c r="U25" s="60">
        <f t="shared" si="23"/>
        <v>0</v>
      </c>
      <c r="V25" s="61">
        <f t="shared" si="24"/>
        <v>0</v>
      </c>
      <c r="W25" s="60">
        <f>IF(AND(AK25&gt;=0.8,AK25&lt;=2),1.85*B25,2.03*B25)</f>
        <v>0</v>
      </c>
      <c r="X25" s="60">
        <v>0</v>
      </c>
      <c r="Y25" s="60">
        <f>IF(AND(AK25&gt;=0.8,AK25&lt;=2),(((3.02*21*2+2.34)*1.208+2.51*0.888)*B25),(((3.02*21*2+2.34)*1.578+2.51*0.888)*B25))</f>
        <v>0</v>
      </c>
      <c r="Z25" s="8">
        <f t="shared" si="25"/>
        <v>0</v>
      </c>
      <c r="AA25" s="8">
        <f t="shared" si="26"/>
        <v>0</v>
      </c>
      <c r="AB25" s="8">
        <f t="shared" si="27"/>
        <v>0</v>
      </c>
      <c r="AC25" s="8">
        <f t="shared" si="28"/>
        <v>0</v>
      </c>
      <c r="AD25" s="9">
        <f t="shared" si="29"/>
        <v>0</v>
      </c>
      <c r="AE25" s="7"/>
      <c r="AH25" s="26"/>
      <c r="AI25" s="55">
        <v>4</v>
      </c>
      <c r="AJ25" s="55">
        <v>0.24</v>
      </c>
      <c r="AK25" s="38">
        <f>IF(AI25+0.165-AM25-0.22&gt;=0.4,AI25+0.165-AM25-0.2,0.4)</f>
        <v>1.7950000000000002</v>
      </c>
      <c r="AL25" s="62">
        <f>IF(AND(AK25&gt;=0.8,AK25&lt;=2),0.2,0.22)</f>
        <v>0.2</v>
      </c>
      <c r="AM25" s="38">
        <v>2.17</v>
      </c>
      <c r="AN25" s="38">
        <f>0.36+0.14</f>
        <v>0.5</v>
      </c>
      <c r="AO25" s="38">
        <v>2.64</v>
      </c>
      <c r="AP25" s="38">
        <f>(4.68*4.68-3.68*3.68)</f>
        <v>8.3599999999999959</v>
      </c>
      <c r="AQ25" s="63"/>
    </row>
    <row r="26" spans="1:43" ht="21.95" customHeight="1" x14ac:dyDescent="0.15">
      <c r="A26" s="58" t="s">
        <v>108</v>
      </c>
      <c r="B26" s="59"/>
      <c r="C26" s="7" t="s">
        <v>129</v>
      </c>
      <c r="D26" s="60">
        <f>1.83*B26</f>
        <v>0</v>
      </c>
      <c r="E26" s="60">
        <f>5.24*B26</f>
        <v>0</v>
      </c>
      <c r="F26" s="60">
        <f>B26*416.04</f>
        <v>0</v>
      </c>
      <c r="G26" s="60">
        <v>0</v>
      </c>
      <c r="H26" s="60">
        <v>0</v>
      </c>
      <c r="I26" s="60">
        <f>B26*13.3</f>
        <v>0</v>
      </c>
      <c r="J26" s="60">
        <f>IF(AI26&lt;=4,B26*(140.2-13.3),B26*(186.3-13.3))</f>
        <v>0</v>
      </c>
      <c r="K26" s="60">
        <f>B26*28.48</f>
        <v>0</v>
      </c>
      <c r="L26" s="60">
        <f>B26*62.55</f>
        <v>0</v>
      </c>
      <c r="M26" s="60">
        <v>0.71</v>
      </c>
      <c r="N26" s="60">
        <f t="shared" si="16"/>
        <v>2.41</v>
      </c>
      <c r="O26" s="60">
        <f t="shared" si="17"/>
        <v>1.5699999999999996</v>
      </c>
      <c r="P26" s="60">
        <f t="shared" si="18"/>
        <v>0</v>
      </c>
      <c r="Q26" s="60">
        <f t="shared" si="19"/>
        <v>0</v>
      </c>
      <c r="R26" s="61">
        <f t="shared" si="20"/>
        <v>0</v>
      </c>
      <c r="S26" s="60">
        <f t="shared" si="21"/>
        <v>0</v>
      </c>
      <c r="T26" s="60">
        <f t="shared" si="22"/>
        <v>0</v>
      </c>
      <c r="U26" s="60">
        <f t="shared" si="23"/>
        <v>0</v>
      </c>
      <c r="V26" s="61">
        <f t="shared" si="24"/>
        <v>0</v>
      </c>
      <c r="W26" s="60">
        <f>IF(AND(AK26&gt;=0.8,AK26&lt;=2),2.24*B26,2.46*B26)</f>
        <v>0</v>
      </c>
      <c r="X26" s="60">
        <v>0</v>
      </c>
      <c r="Y26" s="60">
        <f>IF(AND(AK26&gt;=0.8,AK26&lt;=2),(((3.32*23*2+2.34)*1.578+2.51*0.888)*B26),((3.32*23*2+2.34)*1.998+2.51*0.888)*B26)</f>
        <v>0</v>
      </c>
      <c r="Z26" s="8">
        <f t="shared" si="25"/>
        <v>0</v>
      </c>
      <c r="AA26" s="8">
        <f t="shared" si="26"/>
        <v>0</v>
      </c>
      <c r="AB26" s="8">
        <f t="shared" si="27"/>
        <v>0</v>
      </c>
      <c r="AC26" s="8">
        <f t="shared" si="28"/>
        <v>0</v>
      </c>
      <c r="AD26" s="9">
        <f t="shared" si="29"/>
        <v>0</v>
      </c>
      <c r="AE26" s="7"/>
      <c r="AH26" s="26"/>
      <c r="AI26" s="55">
        <v>4</v>
      </c>
      <c r="AJ26" s="55">
        <v>0.24</v>
      </c>
      <c r="AK26" s="38">
        <f>IF(AI26+0.18-AM26-0.22&gt;=0.4,AI26+0.18-AM26-0.2,0.4)</f>
        <v>1.5699999999999996</v>
      </c>
      <c r="AL26" s="62">
        <f>IF(AND(AK26&gt;=0.8,AK26&lt;=2),0.2,0.22)</f>
        <v>0.2</v>
      </c>
      <c r="AM26" s="38">
        <v>2.41</v>
      </c>
      <c r="AN26" s="38">
        <f t="shared" ref="AN26:AN28" si="30">0.36+0.14</f>
        <v>0.5</v>
      </c>
      <c r="AO26" s="38">
        <v>2.64</v>
      </c>
      <c r="AP26" s="38">
        <f>(4.98*4.98-3.98*3.98)</f>
        <v>8.9600000000000026</v>
      </c>
      <c r="AQ26" s="63"/>
    </row>
    <row r="27" spans="1:43" ht="21.95" customHeight="1" x14ac:dyDescent="0.15">
      <c r="A27" s="58" t="s">
        <v>108</v>
      </c>
      <c r="B27" s="59"/>
      <c r="C27" s="7" t="s">
        <v>130</v>
      </c>
      <c r="D27" s="60">
        <f>2.1*B27</f>
        <v>0</v>
      </c>
      <c r="E27" s="60">
        <f>6.02*B27</f>
        <v>0</v>
      </c>
      <c r="F27" s="60">
        <f>B27*478.37</f>
        <v>0</v>
      </c>
      <c r="G27" s="60">
        <v>0</v>
      </c>
      <c r="H27" s="60">
        <v>0</v>
      </c>
      <c r="I27" s="60">
        <f>B27*15</f>
        <v>0</v>
      </c>
      <c r="J27" s="60">
        <f>IF(AI27&lt;=4,B27*(213.9-15),B27*(274.7-15))</f>
        <v>0</v>
      </c>
      <c r="K27" s="60">
        <f>B27*36.7</f>
        <v>0</v>
      </c>
      <c r="L27" s="60">
        <f>B27*75.88</f>
        <v>0</v>
      </c>
      <c r="M27" s="60">
        <v>0.71</v>
      </c>
      <c r="N27" s="60">
        <f t="shared" si="16"/>
        <v>2.75</v>
      </c>
      <c r="O27" s="60">
        <f t="shared" si="17"/>
        <v>1.2300000000000002</v>
      </c>
      <c r="P27" s="60">
        <f t="shared" si="18"/>
        <v>0</v>
      </c>
      <c r="Q27" s="60">
        <f t="shared" si="19"/>
        <v>0</v>
      </c>
      <c r="R27" s="61">
        <f t="shared" si="20"/>
        <v>0</v>
      </c>
      <c r="S27" s="60">
        <f t="shared" si="21"/>
        <v>0</v>
      </c>
      <c r="T27" s="60">
        <f t="shared" si="22"/>
        <v>0</v>
      </c>
      <c r="U27" s="60">
        <f t="shared" si="23"/>
        <v>0</v>
      </c>
      <c r="V27" s="61">
        <f t="shared" si="24"/>
        <v>0</v>
      </c>
      <c r="W27" s="60">
        <f>IF(AND(AK27&gt;=0.8,AK27&lt;=2),2.93*B27,3.19*B27)</f>
        <v>0</v>
      </c>
      <c r="X27" s="60">
        <v>0</v>
      </c>
      <c r="Y27" s="60">
        <f>IF(AND(AK27&gt;=0.8,AK27&lt;=2),(((3.62*27*2+2.34)*1.578+2.51*0.888)*B27),((3.62*27*2+2.34)*1.998+2.51*0.888)*B27)</f>
        <v>0</v>
      </c>
      <c r="Z27" s="8">
        <f t="shared" si="25"/>
        <v>0</v>
      </c>
      <c r="AA27" s="8">
        <f t="shared" si="26"/>
        <v>0</v>
      </c>
      <c r="AB27" s="8">
        <f t="shared" si="27"/>
        <v>0</v>
      </c>
      <c r="AC27" s="8">
        <f t="shared" si="28"/>
        <v>0</v>
      </c>
      <c r="AD27" s="9">
        <f t="shared" si="29"/>
        <v>0</v>
      </c>
      <c r="AE27" s="7"/>
      <c r="AH27" s="26"/>
      <c r="AI27" s="55">
        <v>4</v>
      </c>
      <c r="AJ27" s="55">
        <v>0.24</v>
      </c>
      <c r="AK27" s="38">
        <f>IF(AI27+0.2-AM27-0.24&gt;=0.4,AI27+0.2-AM27-0.22,0.4)</f>
        <v>1.2300000000000002</v>
      </c>
      <c r="AL27" s="62">
        <f>IF(AND(AK27&gt;=0.8,AK27&lt;=2),0.22,0.24)</f>
        <v>0.22</v>
      </c>
      <c r="AM27" s="38">
        <v>2.75</v>
      </c>
      <c r="AN27" s="38">
        <f t="shared" si="30"/>
        <v>0.5</v>
      </c>
      <c r="AO27" s="38">
        <v>2.64</v>
      </c>
      <c r="AP27" s="38">
        <f>(5.28*5.28-4.28*4.28)</f>
        <v>9.5600000000000023</v>
      </c>
      <c r="AQ27" s="63"/>
    </row>
    <row r="28" spans="1:43" ht="21.95" customHeight="1" x14ac:dyDescent="0.15">
      <c r="A28" s="58" t="s">
        <v>108</v>
      </c>
      <c r="B28" s="59"/>
      <c r="C28" s="7" t="s">
        <v>131</v>
      </c>
      <c r="D28" s="60">
        <f>2.48*B28</f>
        <v>0</v>
      </c>
      <c r="E28" s="60">
        <f>7.14*B28</f>
        <v>0</v>
      </c>
      <c r="F28" s="60">
        <f>B28*568.24</f>
        <v>0</v>
      </c>
      <c r="G28" s="60">
        <v>0</v>
      </c>
      <c r="H28" s="60">
        <v>0</v>
      </c>
      <c r="I28" s="60">
        <f>B28*15</f>
        <v>0</v>
      </c>
      <c r="J28" s="60">
        <f>IF(AI28&lt;=4,B28*(213.9-15),B28*(274.7-15))</f>
        <v>0</v>
      </c>
      <c r="K28" s="60">
        <f>B28*47.76</f>
        <v>0</v>
      </c>
      <c r="L28" s="60">
        <f>B28*91.3</f>
        <v>0</v>
      </c>
      <c r="M28" s="60">
        <v>0.71</v>
      </c>
      <c r="N28" s="60">
        <f t="shared" si="16"/>
        <v>2.99</v>
      </c>
      <c r="O28" s="60">
        <f t="shared" si="17"/>
        <v>0.98999999999999955</v>
      </c>
      <c r="P28" s="60">
        <f t="shared" si="18"/>
        <v>0</v>
      </c>
      <c r="Q28" s="60">
        <f t="shared" si="19"/>
        <v>0</v>
      </c>
      <c r="R28" s="61">
        <f t="shared" si="20"/>
        <v>0</v>
      </c>
      <c r="S28" s="60">
        <f t="shared" si="21"/>
        <v>0</v>
      </c>
      <c r="T28" s="60">
        <f t="shared" si="22"/>
        <v>0</v>
      </c>
      <c r="U28" s="60">
        <f t="shared" si="23"/>
        <v>0</v>
      </c>
      <c r="V28" s="61">
        <f t="shared" si="24"/>
        <v>0</v>
      </c>
      <c r="W28" s="60">
        <f>IF(AND(AK28&gt;=0.8,AK28&lt;=2),3.94*B28,4.27*B28)</f>
        <v>0</v>
      </c>
      <c r="X28" s="60">
        <v>0</v>
      </c>
      <c r="Y28" s="60">
        <f>IF(AND(AK28&gt;=0.8,AK28&lt;=2),(((4.02*31*2+2.34)*1.578+2.51*0.888)*B28),((4.02*31*2+2.34)*1.998+2.51*0.888)*B28)</f>
        <v>0</v>
      </c>
      <c r="Z28" s="8">
        <f t="shared" si="25"/>
        <v>0</v>
      </c>
      <c r="AA28" s="8">
        <f t="shared" si="26"/>
        <v>0</v>
      </c>
      <c r="AB28" s="8">
        <f t="shared" si="27"/>
        <v>0</v>
      </c>
      <c r="AC28" s="8">
        <f t="shared" si="28"/>
        <v>0</v>
      </c>
      <c r="AD28" s="9">
        <f t="shared" si="29"/>
        <v>0</v>
      </c>
      <c r="AE28" s="7"/>
      <c r="AH28" s="26"/>
      <c r="AI28" s="55">
        <v>4</v>
      </c>
      <c r="AJ28" s="55">
        <v>0.24</v>
      </c>
      <c r="AK28" s="38">
        <f>IF(AI28+0.22-AM28-0.26&gt;=0.4,AI28+0.22-AM28-0.24,0.4)</f>
        <v>0.98999999999999955</v>
      </c>
      <c r="AL28" s="62">
        <f>IF(AND(AK28&gt;=0.8,AK28&lt;=2),0.24,0.26)</f>
        <v>0.24</v>
      </c>
      <c r="AM28" s="38">
        <v>2.99</v>
      </c>
      <c r="AN28" s="38">
        <f t="shared" si="30"/>
        <v>0.5</v>
      </c>
      <c r="AO28" s="38">
        <v>2.64</v>
      </c>
      <c r="AP28" s="38">
        <f>(5.68*5.68-4.68*4.68)</f>
        <v>10.360000000000003</v>
      </c>
      <c r="AQ28" s="63"/>
    </row>
    <row r="29" spans="1:43" ht="21.95" customHeight="1" x14ac:dyDescent="0.15">
      <c r="A29" s="58" t="s">
        <v>27</v>
      </c>
      <c r="B29" s="59">
        <f>SUM(B21:B28)</f>
        <v>2</v>
      </c>
      <c r="C29" s="7" t="s">
        <v>82</v>
      </c>
      <c r="D29" s="60">
        <f t="shared" ref="D29:AD29" si="31">SUM(D21:D28)</f>
        <v>3.16</v>
      </c>
      <c r="E29" s="60">
        <f t="shared" si="31"/>
        <v>9.0399999999999991</v>
      </c>
      <c r="F29" s="60">
        <f t="shared" si="31"/>
        <v>716.1</v>
      </c>
      <c r="G29" s="60">
        <f t="shared" si="31"/>
        <v>0</v>
      </c>
      <c r="H29" s="60">
        <f t="shared" si="31"/>
        <v>0</v>
      </c>
      <c r="I29" s="60">
        <f t="shared" si="31"/>
        <v>23.4</v>
      </c>
      <c r="J29" s="60">
        <f t="shared" si="31"/>
        <v>223</v>
      </c>
      <c r="K29" s="60">
        <f t="shared" si="31"/>
        <v>43.16</v>
      </c>
      <c r="L29" s="60">
        <f t="shared" si="31"/>
        <v>102.24</v>
      </c>
      <c r="M29" s="60">
        <f t="shared" si="31"/>
        <v>5.68</v>
      </c>
      <c r="N29" s="60">
        <f t="shared" si="31"/>
        <v>18.25</v>
      </c>
      <c r="O29" s="60">
        <f t="shared" si="31"/>
        <v>12.98</v>
      </c>
      <c r="P29" s="60">
        <f t="shared" si="31"/>
        <v>5.0600000000000006E-2</v>
      </c>
      <c r="Q29" s="60">
        <f t="shared" si="31"/>
        <v>1.9986999999999999</v>
      </c>
      <c r="R29" s="61">
        <f t="shared" si="31"/>
        <v>2</v>
      </c>
      <c r="S29" s="60">
        <f t="shared" si="31"/>
        <v>0.2</v>
      </c>
      <c r="T29" s="60">
        <f t="shared" si="31"/>
        <v>9.66</v>
      </c>
      <c r="U29" s="60">
        <f t="shared" si="31"/>
        <v>33.099999999999994</v>
      </c>
      <c r="V29" s="61">
        <f t="shared" si="31"/>
        <v>2</v>
      </c>
      <c r="W29" s="60">
        <f t="shared" si="31"/>
        <v>3.7</v>
      </c>
      <c r="X29" s="60">
        <f t="shared" si="31"/>
        <v>0</v>
      </c>
      <c r="Y29" s="60">
        <f t="shared" si="31"/>
        <v>316.55664000000002</v>
      </c>
      <c r="Z29" s="8">
        <f t="shared" si="31"/>
        <v>19.444444444444446</v>
      </c>
      <c r="AA29" s="8">
        <f t="shared" si="31"/>
        <v>2</v>
      </c>
      <c r="AB29" s="8">
        <f t="shared" si="31"/>
        <v>2</v>
      </c>
      <c r="AC29" s="8">
        <f t="shared" si="31"/>
        <v>16</v>
      </c>
      <c r="AD29" s="9">
        <f t="shared" si="31"/>
        <v>15.021599999999992</v>
      </c>
      <c r="AE29" s="7"/>
      <c r="AH29" s="26"/>
      <c r="AI29" s="55"/>
      <c r="AJ29" s="55"/>
      <c r="AK29" s="38"/>
      <c r="AL29" s="62"/>
      <c r="AM29" s="38"/>
      <c r="AN29" s="38"/>
      <c r="AO29" s="38"/>
      <c r="AP29" s="38"/>
      <c r="AQ29" s="63"/>
    </row>
    <row r="30" spans="1:43" ht="20.25" customHeight="1" x14ac:dyDescent="0.15">
      <c r="AD30" s="24"/>
      <c r="AE30" s="24"/>
    </row>
    <row r="31" spans="1:43" ht="15" customHeight="1" x14ac:dyDescent="0.15">
      <c r="AD31" s="25"/>
    </row>
    <row r="32" spans="1:43" x14ac:dyDescent="0.15">
      <c r="I32" s="2"/>
      <c r="J32" s="2"/>
      <c r="AE32" s="25"/>
    </row>
    <row r="33" spans="1:73" ht="24.95" customHeight="1" x14ac:dyDescent="0.1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N33" s="72"/>
      <c r="O33" s="72"/>
      <c r="P33" s="72"/>
      <c r="Q33" s="72"/>
      <c r="R33" s="72"/>
      <c r="S33" s="72"/>
      <c r="T33" s="72"/>
      <c r="U33" s="72"/>
      <c r="V33" s="72"/>
      <c r="X33" s="72"/>
      <c r="Y33" s="72"/>
      <c r="Z33" s="72"/>
      <c r="AC33" s="72"/>
      <c r="AD33" s="72"/>
      <c r="AE33" s="72"/>
      <c r="AF33" s="72"/>
      <c r="AG33" s="72"/>
      <c r="AH33" s="72"/>
      <c r="AI33" s="73"/>
      <c r="AJ33" s="73"/>
      <c r="AK33" s="72"/>
      <c r="AL33" s="73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</row>
    <row r="34" spans="1:73" ht="24.95" customHeight="1" x14ac:dyDescent="0.15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N34" s="72"/>
      <c r="O34" s="72"/>
      <c r="P34" s="72"/>
      <c r="Q34" s="72"/>
      <c r="R34" s="72"/>
      <c r="S34" s="72"/>
      <c r="T34" s="72"/>
      <c r="U34" s="72"/>
      <c r="V34" s="72"/>
      <c r="X34" s="72"/>
      <c r="Y34" s="72"/>
      <c r="Z34" s="72"/>
      <c r="AC34" s="72"/>
      <c r="AD34" s="72"/>
      <c r="AE34" s="72"/>
      <c r="AF34" s="72"/>
      <c r="AG34" s="72"/>
      <c r="AH34" s="72"/>
      <c r="AI34" s="73"/>
      <c r="AJ34" s="73"/>
      <c r="AK34" s="72"/>
      <c r="AL34" s="73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</row>
    <row r="35" spans="1:73" ht="24.95" customHeight="1" x14ac:dyDescent="0.15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4"/>
      <c r="L35" s="74"/>
      <c r="N35" s="72"/>
      <c r="O35" s="72"/>
      <c r="P35" s="72"/>
      <c r="Q35" s="72"/>
      <c r="R35" s="72"/>
      <c r="S35" s="72"/>
      <c r="T35" s="72"/>
      <c r="U35" s="72"/>
      <c r="V35" s="72"/>
      <c r="X35" s="72"/>
      <c r="Y35" s="74"/>
      <c r="Z35" s="74"/>
      <c r="AC35" s="72"/>
      <c r="AD35" s="72"/>
      <c r="AE35" s="72"/>
      <c r="AF35" s="72"/>
      <c r="AG35" s="72"/>
      <c r="AH35" s="72"/>
      <c r="AI35" s="73"/>
      <c r="AJ35" s="73"/>
      <c r="AK35" s="72"/>
      <c r="AL35" s="73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</row>
    <row r="36" spans="1:73" ht="24.95" customHeight="1" x14ac:dyDescent="0.1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N36" s="72"/>
      <c r="O36" s="72"/>
      <c r="P36" s="72"/>
      <c r="Q36" s="74"/>
      <c r="R36" s="74"/>
      <c r="S36" s="72"/>
      <c r="T36" s="72"/>
      <c r="U36" s="72"/>
      <c r="V36" s="72"/>
      <c r="X36" s="72"/>
      <c r="Y36" s="72"/>
      <c r="Z36" s="72"/>
      <c r="AC36" s="72"/>
      <c r="AD36" s="72"/>
      <c r="AE36" s="72"/>
      <c r="AF36" s="72"/>
      <c r="AG36" s="72"/>
      <c r="AH36" s="72"/>
      <c r="AI36" s="73"/>
      <c r="AJ36" s="73"/>
      <c r="AK36" s="72"/>
      <c r="AL36" s="73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</row>
    <row r="37" spans="1:73" ht="24.95" customHeight="1" x14ac:dyDescent="0.15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N37" s="72"/>
      <c r="O37" s="72"/>
      <c r="P37" s="72"/>
      <c r="Q37" s="72"/>
      <c r="R37" s="72"/>
      <c r="S37" s="72"/>
      <c r="T37" s="72"/>
      <c r="U37" s="72"/>
      <c r="V37" s="72"/>
      <c r="X37" s="72"/>
      <c r="Y37" s="72"/>
      <c r="Z37" s="72"/>
      <c r="AC37" s="72"/>
      <c r="AD37" s="72"/>
      <c r="AE37" s="72"/>
      <c r="AF37" s="72"/>
      <c r="AG37" s="72"/>
      <c r="AH37" s="72"/>
      <c r="AI37" s="73"/>
      <c r="AJ37" s="73"/>
      <c r="AK37" s="72"/>
      <c r="AL37" s="73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</row>
    <row r="38" spans="1:73" ht="24.95" customHeight="1" x14ac:dyDescent="0.15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N38" s="72"/>
      <c r="O38" s="72"/>
      <c r="P38" s="72"/>
      <c r="Q38" s="72"/>
      <c r="R38" s="72"/>
      <c r="S38" s="72"/>
      <c r="T38" s="72"/>
      <c r="U38" s="72"/>
      <c r="V38" s="72"/>
      <c r="X38" s="72"/>
      <c r="Y38" s="72"/>
      <c r="Z38" s="72"/>
      <c r="AC38" s="72"/>
      <c r="AD38" s="72"/>
      <c r="AE38" s="72"/>
      <c r="AF38" s="72"/>
      <c r="AG38" s="72"/>
      <c r="AH38" s="72"/>
      <c r="AI38" s="73"/>
      <c r="AJ38" s="73"/>
      <c r="AK38" s="72"/>
      <c r="AL38" s="73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</row>
    <row r="39" spans="1:73" ht="24.95" customHeight="1" x14ac:dyDescent="0.15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4"/>
      <c r="L39" s="74"/>
      <c r="P39" s="72"/>
      <c r="Q39" s="74"/>
      <c r="R39" s="74"/>
      <c r="S39" s="72"/>
      <c r="V39" s="72"/>
      <c r="X39" s="72"/>
      <c r="Y39" s="74"/>
      <c r="Z39" s="74"/>
      <c r="AA39" s="72"/>
      <c r="AB39" s="72"/>
      <c r="AC39" s="72"/>
      <c r="AD39" s="72"/>
      <c r="AE39" s="72"/>
      <c r="AF39" s="72"/>
      <c r="AG39" s="72"/>
      <c r="AH39" s="72"/>
      <c r="AI39" s="73"/>
      <c r="AJ39" s="73"/>
      <c r="AK39" s="72"/>
      <c r="AL39" s="73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</row>
    <row r="40" spans="1:73" ht="24.95" customHeight="1" x14ac:dyDescent="0.15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P40" s="72"/>
      <c r="Q40" s="72"/>
      <c r="R40" s="72"/>
      <c r="S40" s="72"/>
      <c r="V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3"/>
      <c r="AJ40" s="73"/>
      <c r="AK40" s="72"/>
      <c r="AL40" s="73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</row>
    <row r="41" spans="1:73" ht="24.95" customHeight="1" x14ac:dyDescent="0.15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Q41" s="74"/>
      <c r="R41" s="74"/>
      <c r="S41" s="72"/>
      <c r="V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3"/>
      <c r="AJ41" s="73"/>
      <c r="AK41" s="72"/>
      <c r="AL41" s="73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</row>
    <row r="42" spans="1:73" ht="24.95" customHeight="1" x14ac:dyDescent="0.15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S42" s="72"/>
      <c r="V42" s="72"/>
      <c r="X42" s="72"/>
      <c r="Y42" s="72"/>
      <c r="Z42" s="72"/>
      <c r="AA42" s="72"/>
      <c r="AB42" s="72"/>
      <c r="AC42" s="72"/>
      <c r="AD42" s="75"/>
      <c r="AE42" s="72"/>
      <c r="AF42" s="72"/>
      <c r="AG42" s="72"/>
      <c r="AH42" s="72"/>
      <c r="AI42" s="73"/>
      <c r="AJ42" s="73"/>
      <c r="AK42" s="72"/>
      <c r="AL42" s="73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</row>
    <row r="43" spans="1:73" ht="24.95" customHeight="1" x14ac:dyDescent="0.1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4"/>
      <c r="L43" s="74"/>
      <c r="P43" s="72"/>
      <c r="Q43" s="72"/>
      <c r="R43" s="72"/>
      <c r="S43" s="72"/>
      <c r="V43" s="72"/>
      <c r="X43" s="72"/>
      <c r="Y43" s="72"/>
      <c r="Z43" s="72"/>
      <c r="AA43" s="72"/>
      <c r="AB43" s="72"/>
      <c r="AC43" s="72"/>
      <c r="AD43" s="75"/>
      <c r="AE43" s="72"/>
      <c r="AF43" s="72"/>
      <c r="AG43" s="72"/>
      <c r="AH43" s="72"/>
      <c r="AI43" s="73"/>
      <c r="AJ43" s="73"/>
      <c r="AK43" s="72"/>
      <c r="AL43" s="73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</row>
    <row r="44" spans="1:73" ht="24.95" customHeight="1" x14ac:dyDescent="0.15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P44" s="72"/>
      <c r="Q44" s="72"/>
      <c r="R44" s="72"/>
      <c r="S44" s="72"/>
      <c r="T44" s="72"/>
      <c r="U44" s="72"/>
      <c r="V44" s="72"/>
      <c r="X44" s="72"/>
      <c r="Y44" s="72"/>
      <c r="Z44" s="72"/>
      <c r="AA44" s="72"/>
      <c r="AB44" s="72"/>
      <c r="AC44" s="72"/>
      <c r="AD44" s="75"/>
      <c r="AE44" s="72"/>
      <c r="AF44" s="72"/>
      <c r="AG44" s="72"/>
      <c r="AH44" s="72"/>
      <c r="AI44" s="73"/>
      <c r="AJ44" s="73"/>
      <c r="AK44" s="72"/>
      <c r="AL44" s="73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</row>
    <row r="45" spans="1:73" ht="24.95" customHeight="1" x14ac:dyDescent="0.15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4"/>
      <c r="L45" s="74"/>
      <c r="P45" s="72"/>
      <c r="Q45" s="74"/>
      <c r="R45" s="74"/>
      <c r="S45" s="72"/>
      <c r="T45" s="72"/>
      <c r="U45" s="72"/>
      <c r="V45" s="72"/>
      <c r="X45" s="72"/>
      <c r="Y45" s="72"/>
      <c r="Z45" s="72"/>
      <c r="AA45" s="72"/>
      <c r="AB45" s="72"/>
      <c r="AC45" s="72"/>
      <c r="AD45" s="75"/>
      <c r="AE45" s="72"/>
      <c r="AF45" s="72"/>
      <c r="AG45" s="72"/>
      <c r="AH45" s="72"/>
      <c r="AI45" s="73"/>
      <c r="AJ45" s="73"/>
      <c r="AK45" s="72"/>
      <c r="AL45" s="73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</row>
    <row r="46" spans="1:73" ht="24.95" customHeight="1" x14ac:dyDescent="0.15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P46" s="72"/>
      <c r="Q46" s="72"/>
      <c r="R46" s="72"/>
      <c r="S46" s="72"/>
      <c r="T46" s="72"/>
      <c r="U46" s="72"/>
      <c r="V46" s="72"/>
      <c r="X46" s="72"/>
      <c r="Y46" s="72"/>
      <c r="Z46" s="72"/>
      <c r="AA46" s="72"/>
      <c r="AB46" s="72"/>
      <c r="AC46" s="72"/>
      <c r="AD46" s="75"/>
      <c r="AE46" s="72"/>
      <c r="AF46" s="72"/>
      <c r="AG46" s="72"/>
      <c r="AH46" s="72"/>
      <c r="AI46" s="73"/>
      <c r="AJ46" s="73"/>
      <c r="AK46" s="72"/>
      <c r="AL46" s="73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</row>
    <row r="47" spans="1:73" ht="24.95" customHeight="1" x14ac:dyDescent="0.15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P47" s="72"/>
      <c r="Q47" s="74"/>
      <c r="R47" s="74"/>
      <c r="S47" s="72"/>
      <c r="T47" s="72"/>
      <c r="U47" s="72"/>
      <c r="V47" s="72"/>
      <c r="X47" s="72"/>
      <c r="Y47" s="72"/>
      <c r="Z47" s="72"/>
      <c r="AA47" s="72"/>
      <c r="AB47" s="72"/>
      <c r="AC47" s="72"/>
      <c r="AD47" s="75"/>
      <c r="AE47" s="72"/>
      <c r="AF47" s="72"/>
      <c r="AG47" s="72"/>
      <c r="AH47" s="72"/>
      <c r="AI47" s="73"/>
      <c r="AJ47" s="73"/>
      <c r="AK47" s="72"/>
      <c r="AL47" s="73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</row>
    <row r="48" spans="1:73" ht="24.95" customHeight="1" x14ac:dyDescent="0.15">
      <c r="A48" s="72"/>
      <c r="B48" s="72"/>
      <c r="C48" s="72"/>
      <c r="D48" s="72"/>
      <c r="E48" s="72"/>
      <c r="F48" s="72"/>
      <c r="G48" s="73"/>
      <c r="H48" s="73"/>
      <c r="I48" s="72"/>
      <c r="J48" s="72"/>
      <c r="K48" s="72"/>
      <c r="L48" s="72"/>
      <c r="M48" s="72"/>
      <c r="P48" s="72"/>
      <c r="Q48" s="72"/>
      <c r="R48" s="72"/>
      <c r="S48" s="72"/>
      <c r="T48" s="72"/>
      <c r="U48" s="72"/>
      <c r="V48" s="72"/>
      <c r="X48" s="72"/>
      <c r="Y48" s="72"/>
      <c r="Z48" s="72"/>
      <c r="AA48" s="72"/>
      <c r="AB48" s="72"/>
      <c r="AC48" s="72"/>
      <c r="AD48" s="75"/>
      <c r="AE48" s="72"/>
      <c r="AF48" s="72"/>
      <c r="AG48" s="72"/>
      <c r="AH48" s="72"/>
      <c r="AI48" s="73"/>
      <c r="AJ48" s="73"/>
      <c r="AK48" s="72"/>
      <c r="AL48" s="73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</row>
    <row r="49" spans="1:73" ht="24.95" customHeight="1" x14ac:dyDescent="0.15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P49" s="72"/>
      <c r="Q49" s="72"/>
      <c r="R49" s="72"/>
      <c r="S49" s="72"/>
      <c r="T49" s="72"/>
      <c r="U49" s="72"/>
      <c r="V49" s="72"/>
      <c r="X49" s="72"/>
      <c r="Y49" s="72"/>
      <c r="Z49" s="72"/>
      <c r="AA49" s="72"/>
      <c r="AB49" s="72"/>
      <c r="AC49" s="72"/>
      <c r="AD49" s="75"/>
      <c r="AE49" s="72"/>
      <c r="AF49" s="72"/>
      <c r="AG49" s="72"/>
      <c r="AH49" s="72"/>
      <c r="AI49" s="73"/>
      <c r="AJ49" s="73"/>
      <c r="AK49" s="72"/>
      <c r="AL49" s="73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</row>
    <row r="50" spans="1:73" ht="24.95" customHeight="1" x14ac:dyDescent="0.15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5"/>
      <c r="AE50" s="72"/>
      <c r="AF50" s="72"/>
      <c r="AG50" s="72"/>
      <c r="AH50" s="72"/>
      <c r="AI50" s="73"/>
      <c r="AJ50" s="73"/>
      <c r="AK50" s="72"/>
      <c r="AL50" s="73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</row>
    <row r="51" spans="1:73" ht="24.95" customHeight="1" x14ac:dyDescent="0.15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5"/>
      <c r="AE51" s="72"/>
      <c r="AF51" s="72"/>
      <c r="AG51" s="72"/>
      <c r="AH51" s="72"/>
      <c r="AI51" s="73"/>
      <c r="AJ51" s="73"/>
      <c r="AK51" s="72"/>
      <c r="AL51" s="73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</row>
    <row r="52" spans="1:73" ht="24.95" customHeight="1" x14ac:dyDescent="0.15">
      <c r="A52" s="72"/>
      <c r="B52" s="72"/>
      <c r="C52" s="72"/>
      <c r="D52" s="72"/>
      <c r="E52" s="72"/>
      <c r="F52" s="72"/>
      <c r="G52" s="73"/>
      <c r="H52" s="73"/>
      <c r="I52" s="72"/>
      <c r="J52" s="72"/>
      <c r="K52" s="72"/>
      <c r="L52" s="72"/>
      <c r="M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5"/>
      <c r="AE52" s="72"/>
      <c r="AF52" s="72"/>
      <c r="AG52" s="72"/>
      <c r="AH52" s="72"/>
      <c r="AI52" s="73"/>
      <c r="AJ52" s="73"/>
      <c r="AK52" s="72"/>
      <c r="AL52" s="73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</row>
    <row r="53" spans="1:73" ht="24.95" customHeight="1" x14ac:dyDescent="0.15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3"/>
      <c r="AJ53" s="73"/>
      <c r="AK53" s="72"/>
      <c r="AL53" s="73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</row>
    <row r="54" spans="1:73" ht="24.95" customHeight="1" x14ac:dyDescent="0.15">
      <c r="A54" s="72"/>
      <c r="B54" s="72"/>
      <c r="C54" s="72"/>
      <c r="D54" s="72"/>
      <c r="E54" s="72"/>
      <c r="F54" s="72"/>
      <c r="G54" s="73"/>
      <c r="H54" s="73"/>
      <c r="I54" s="72"/>
      <c r="J54" s="72"/>
      <c r="K54" s="72"/>
      <c r="L54" s="72"/>
      <c r="M54" s="72"/>
      <c r="P54" s="76"/>
      <c r="Q54" s="76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3"/>
      <c r="AJ54" s="73"/>
      <c r="AK54" s="72"/>
      <c r="AL54" s="73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</row>
    <row r="55" spans="1:73" ht="24.95" customHeight="1" x14ac:dyDescent="0.15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3"/>
      <c r="AJ55" s="73"/>
      <c r="AK55" s="72"/>
      <c r="AL55" s="73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</row>
    <row r="56" spans="1:73" ht="24.95" customHeight="1" x14ac:dyDescent="0.15">
      <c r="F56" s="72"/>
      <c r="G56" s="76"/>
      <c r="H56" s="76"/>
      <c r="I56" s="72"/>
      <c r="K56" s="77"/>
      <c r="L56" s="77"/>
      <c r="M56" s="72"/>
      <c r="W56" s="72"/>
      <c r="X56" s="72"/>
      <c r="Y56" s="72"/>
      <c r="AE56" s="72"/>
    </row>
    <row r="57" spans="1:73" ht="24.95" customHeight="1" x14ac:dyDescent="0.15">
      <c r="I57" s="72"/>
      <c r="K57" s="72"/>
      <c r="L57" s="72"/>
      <c r="M57" s="72"/>
      <c r="P57" s="72"/>
      <c r="Q57" s="72"/>
      <c r="W57" s="72"/>
      <c r="X57" s="72"/>
      <c r="Y57" s="72"/>
    </row>
    <row r="58" spans="1:73" ht="24.95" customHeight="1" x14ac:dyDescent="0.15">
      <c r="F58" s="28"/>
      <c r="G58" s="72"/>
      <c r="H58" s="72"/>
      <c r="I58" s="72"/>
      <c r="K58" s="72"/>
      <c r="L58" s="72"/>
      <c r="M58" s="72"/>
      <c r="P58" s="72"/>
      <c r="Q58" s="72"/>
      <c r="W58" s="72"/>
      <c r="X58" s="72"/>
      <c r="Y58" s="72"/>
    </row>
    <row r="59" spans="1:73" ht="24.95" customHeight="1" x14ac:dyDescent="0.15">
      <c r="G59" s="73"/>
      <c r="H59" s="73"/>
      <c r="I59" s="72"/>
      <c r="K59" s="72"/>
      <c r="L59" s="72"/>
      <c r="M59" s="72"/>
      <c r="P59" s="72"/>
      <c r="Q59" s="72"/>
      <c r="W59" s="72"/>
      <c r="X59" s="72"/>
      <c r="Y59" s="72"/>
    </row>
    <row r="60" spans="1:73" ht="24.95" customHeight="1" x14ac:dyDescent="0.15">
      <c r="G60" s="72"/>
      <c r="H60" s="72"/>
      <c r="W60" s="72"/>
      <c r="X60" s="72"/>
      <c r="Y60" s="72"/>
    </row>
    <row r="61" spans="1:73" ht="24.95" customHeight="1" x14ac:dyDescent="0.15">
      <c r="F61" s="72"/>
      <c r="G61" s="72"/>
      <c r="H61" s="72"/>
      <c r="I61" s="72"/>
      <c r="J61" s="72"/>
      <c r="K61" s="74"/>
      <c r="L61" s="74"/>
      <c r="M61" s="72"/>
      <c r="Y61" s="72"/>
    </row>
    <row r="62" spans="1:73" ht="24.95" customHeight="1" x14ac:dyDescent="0.15">
      <c r="F62" s="72"/>
      <c r="G62" s="72"/>
      <c r="H62" s="72"/>
      <c r="I62" s="72"/>
      <c r="J62" s="72"/>
      <c r="K62" s="72"/>
      <c r="L62" s="72"/>
      <c r="M62" s="72"/>
    </row>
    <row r="63" spans="1:73" ht="24.95" customHeight="1" x14ac:dyDescent="0.15">
      <c r="F63" s="72"/>
      <c r="G63" s="72"/>
      <c r="H63" s="72"/>
      <c r="I63" s="72"/>
      <c r="J63" s="72"/>
      <c r="K63" s="72"/>
      <c r="L63" s="72"/>
      <c r="M63" s="72"/>
    </row>
    <row r="64" spans="1:73" ht="24.95" customHeight="1" x14ac:dyDescent="0.15">
      <c r="K64" s="74"/>
      <c r="L64" s="74"/>
      <c r="M64" s="72"/>
    </row>
    <row r="65" spans="11:13" ht="24.95" customHeight="1" x14ac:dyDescent="0.15">
      <c r="K65" s="72"/>
      <c r="L65" s="72"/>
      <c r="M65" s="72"/>
    </row>
    <row r="66" spans="11:13" ht="24.95" customHeight="1" x14ac:dyDescent="0.15">
      <c r="K66" s="72"/>
      <c r="L66" s="72"/>
      <c r="M66" s="72"/>
    </row>
    <row r="67" spans="11:13" ht="24.95" customHeight="1" x14ac:dyDescent="0.15">
      <c r="K67" s="72"/>
      <c r="L67" s="72"/>
      <c r="M67" s="72"/>
    </row>
    <row r="68" spans="11:13" ht="24.95" customHeight="1" x14ac:dyDescent="0.15"/>
    <row r="69" spans="11:13" ht="24.95" customHeight="1" x14ac:dyDescent="0.15"/>
    <row r="70" spans="11:13" ht="24.95" customHeight="1" x14ac:dyDescent="0.15"/>
    <row r="71" spans="11:13" ht="24.95" customHeight="1" x14ac:dyDescent="0.15"/>
    <row r="72" spans="11:13" ht="24.95" customHeight="1" x14ac:dyDescent="0.15"/>
    <row r="73" spans="11:13" ht="24.95" customHeight="1" x14ac:dyDescent="0.15"/>
    <row r="74" spans="11:13" ht="24.95" customHeight="1" x14ac:dyDescent="0.15"/>
    <row r="75" spans="11:13" ht="24.95" customHeight="1" x14ac:dyDescent="0.15"/>
    <row r="76" spans="11:13" ht="24.95" customHeight="1" x14ac:dyDescent="0.15"/>
    <row r="77" spans="11:13" ht="24.95" customHeight="1" x14ac:dyDescent="0.15"/>
    <row r="78" spans="11:13" ht="24.95" customHeight="1" x14ac:dyDescent="0.15"/>
    <row r="79" spans="11:13" ht="24.95" customHeight="1" x14ac:dyDescent="0.15"/>
    <row r="80" spans="11:13" ht="24.95" customHeight="1" x14ac:dyDescent="0.15"/>
    <row r="81" ht="24.95" customHeight="1" x14ac:dyDescent="0.15"/>
    <row r="82" ht="24.95" customHeight="1" x14ac:dyDescent="0.15"/>
    <row r="83" ht="24.95" customHeight="1" x14ac:dyDescent="0.15"/>
    <row r="84" ht="24.95" customHeight="1" x14ac:dyDescent="0.15"/>
    <row r="85" ht="24.95" customHeight="1" x14ac:dyDescent="0.15"/>
    <row r="86" ht="24.95" customHeight="1" x14ac:dyDescent="0.15"/>
    <row r="87" ht="24.95" customHeight="1" x14ac:dyDescent="0.15"/>
    <row r="88" ht="24.95" customHeight="1" x14ac:dyDescent="0.15"/>
    <row r="89" ht="24.95" customHeight="1" x14ac:dyDescent="0.15"/>
    <row r="90" ht="24.95" customHeight="1" x14ac:dyDescent="0.15"/>
    <row r="91" ht="24.95" customHeight="1" x14ac:dyDescent="0.15"/>
    <row r="92" ht="24.95" customHeight="1" x14ac:dyDescent="0.15"/>
  </sheetData>
  <mergeCells count="43">
    <mergeCell ref="AO8:AP8"/>
    <mergeCell ref="A9:AE9"/>
    <mergeCell ref="A20:AE20"/>
    <mergeCell ref="Z4:Z6"/>
    <mergeCell ref="AA4:AA6"/>
    <mergeCell ref="AB4:AB6"/>
    <mergeCell ref="AC4:AC6"/>
    <mergeCell ref="T5:T6"/>
    <mergeCell ref="U5:U6"/>
    <mergeCell ref="X5:X6"/>
    <mergeCell ref="Y5:Y6"/>
    <mergeCell ref="R4:R6"/>
    <mergeCell ref="S4:S6"/>
    <mergeCell ref="T4:U4"/>
    <mergeCell ref="V4:V6"/>
    <mergeCell ref="W4:W6"/>
    <mergeCell ref="G4:G6"/>
    <mergeCell ref="H4:H6"/>
    <mergeCell ref="I4:J5"/>
    <mergeCell ref="K4:K5"/>
    <mergeCell ref="X4:Y4"/>
    <mergeCell ref="L4:L5"/>
    <mergeCell ref="M4:M5"/>
    <mergeCell ref="N4:N6"/>
    <mergeCell ref="O4:O6"/>
    <mergeCell ref="P4:P6"/>
    <mergeCell ref="Q4:Q6"/>
    <mergeCell ref="K1:X1"/>
    <mergeCell ref="AD2:AE2"/>
    <mergeCell ref="A3:A7"/>
    <mergeCell ref="B3:B6"/>
    <mergeCell ref="C3:C7"/>
    <mergeCell ref="E3:F3"/>
    <mergeCell ref="K3:O3"/>
    <mergeCell ref="P3:R3"/>
    <mergeCell ref="S3:V3"/>
    <mergeCell ref="W3:Y3"/>
    <mergeCell ref="Z3:AC3"/>
    <mergeCell ref="AD3:AD6"/>
    <mergeCell ref="AE3:AE7"/>
    <mergeCell ref="D4:D6"/>
    <mergeCell ref="E4:E6"/>
    <mergeCell ref="F4:F6"/>
  </mergeCells>
  <phoneticPr fontId="6" type="noConversion"/>
  <printOptions horizontalCentered="1"/>
  <pageMargins left="0.86614173228346458" right="0.35433070866141736" top="0.98425196850393704" bottom="0.70866141732283472" header="0.51181102362204722" footer="0.51181102362204722"/>
  <pageSetup paperSize="8" scale="76" orientation="landscape" horizontalDpi="180" verticalDpi="18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T21"/>
  <sheetViews>
    <sheetView view="pageBreakPreview" zoomScale="85" zoomScaleNormal="70" zoomScaleSheetLayoutView="85" workbookViewId="0">
      <selection activeCell="E24" sqref="E24"/>
    </sheetView>
  </sheetViews>
  <sheetFormatPr defaultColWidth="9" defaultRowHeight="20.100000000000001" customHeight="1" x14ac:dyDescent="0.15"/>
  <cols>
    <col min="1" max="1" width="5.75" style="170" customWidth="1"/>
    <col min="2" max="2" width="23.75" style="39" customWidth="1"/>
    <col min="3" max="3" width="17.625" style="29" customWidth="1"/>
    <col min="4" max="4" width="19.125" style="29" customWidth="1"/>
    <col min="5" max="5" width="19.5" style="29" customWidth="1"/>
    <col min="6" max="6" width="2.75" style="29" hidden="1" customWidth="1"/>
    <col min="7" max="7" width="22.25" style="29" customWidth="1"/>
    <col min="8" max="8" width="13.125" style="29" hidden="1" customWidth="1"/>
    <col min="9" max="9" width="19" style="29" customWidth="1"/>
    <col min="10" max="10" width="18.125" style="29" customWidth="1"/>
    <col min="11" max="11" width="15.375" style="29" hidden="1" customWidth="1"/>
    <col min="12" max="12" width="15.375" style="29" customWidth="1"/>
    <col min="13" max="13" width="17.375" style="29" customWidth="1"/>
    <col min="14" max="14" width="20.625" style="29" customWidth="1"/>
    <col min="15" max="15" width="5.875" style="29" hidden="1" customWidth="1"/>
    <col min="16" max="16" width="18.125" style="29" customWidth="1"/>
    <col min="17" max="17" width="30" style="29" customWidth="1"/>
    <col min="18" max="21" width="9" style="29"/>
    <col min="22" max="27" width="15.625" style="29" customWidth="1"/>
    <col min="28" max="28" width="10.25" style="29" customWidth="1"/>
    <col min="29" max="29" width="8" style="29" customWidth="1"/>
    <col min="30" max="30" width="10.125" style="29" customWidth="1"/>
    <col min="31" max="31" width="8.75" style="29" customWidth="1"/>
    <col min="32" max="36" width="9" style="29"/>
    <col min="37" max="43" width="15.625" style="29" customWidth="1"/>
    <col min="44" max="44" width="21.25" style="29" customWidth="1"/>
    <col min="45" max="45" width="19.625" style="29" customWidth="1"/>
    <col min="46" max="46" width="15.625" style="29" customWidth="1"/>
    <col min="47" max="16384" width="9" style="29"/>
  </cols>
  <sheetData>
    <row r="1" spans="1:46" s="32" customFormat="1" ht="28.5" customHeight="1" x14ac:dyDescent="0.4">
      <c r="A1" s="401" t="s">
        <v>313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</row>
    <row r="2" spans="1:46" s="33" customFormat="1" ht="33.75" customHeight="1" x14ac:dyDescent="0.15">
      <c r="A2" s="79"/>
      <c r="B2" s="79"/>
      <c r="C2" s="79"/>
      <c r="D2" s="79"/>
      <c r="E2" s="79"/>
      <c r="F2" s="79"/>
      <c r="G2" s="79"/>
      <c r="H2" s="237"/>
      <c r="I2" s="24" t="s">
        <v>378</v>
      </c>
      <c r="P2" s="159"/>
    </row>
    <row r="3" spans="1:46" s="33" customFormat="1" ht="25.5" customHeight="1" x14ac:dyDescent="0.15">
      <c r="A3" s="237" t="s">
        <v>404</v>
      </c>
      <c r="B3" s="237"/>
      <c r="C3" s="237"/>
      <c r="D3" s="237"/>
      <c r="E3" s="237"/>
      <c r="F3" s="237"/>
      <c r="G3" s="237"/>
      <c r="H3" s="237"/>
      <c r="P3" s="159"/>
      <c r="Q3" s="40" t="s">
        <v>379</v>
      </c>
      <c r="R3" s="241"/>
    </row>
    <row r="4" spans="1:46" s="162" customFormat="1" ht="24.95" customHeight="1" x14ac:dyDescent="0.25">
      <c r="A4" s="422" t="s">
        <v>44</v>
      </c>
      <c r="B4" s="419" t="s">
        <v>219</v>
      </c>
      <c r="C4" s="419" t="s">
        <v>220</v>
      </c>
      <c r="D4" s="425" t="s">
        <v>364</v>
      </c>
      <c r="E4" s="427" t="s">
        <v>363</v>
      </c>
      <c r="F4" s="160" t="s">
        <v>221</v>
      </c>
      <c r="G4" s="228" t="s">
        <v>362</v>
      </c>
      <c r="H4" s="428" t="s">
        <v>222</v>
      </c>
      <c r="I4" s="163" t="s">
        <v>361</v>
      </c>
      <c r="J4" s="160" t="s">
        <v>223</v>
      </c>
      <c r="K4" s="160"/>
      <c r="L4" s="160" t="s">
        <v>223</v>
      </c>
      <c r="M4" s="417" t="s">
        <v>224</v>
      </c>
      <c r="N4" s="418"/>
      <c r="O4" s="160" t="s">
        <v>225</v>
      </c>
      <c r="P4" s="161" t="s">
        <v>226</v>
      </c>
      <c r="Q4" s="419" t="s">
        <v>227</v>
      </c>
    </row>
    <row r="5" spans="1:46" s="162" customFormat="1" ht="46.5" customHeight="1" x14ac:dyDescent="0.25">
      <c r="A5" s="423"/>
      <c r="B5" s="420"/>
      <c r="C5" s="421"/>
      <c r="D5" s="426"/>
      <c r="E5" s="426"/>
      <c r="F5" s="160" t="s">
        <v>228</v>
      </c>
      <c r="G5" s="163" t="s">
        <v>360</v>
      </c>
      <c r="H5" s="429"/>
      <c r="I5" s="160" t="s">
        <v>359</v>
      </c>
      <c r="J5" s="164" t="s">
        <v>358</v>
      </c>
      <c r="K5" s="160"/>
      <c r="L5" s="164" t="s">
        <v>357</v>
      </c>
      <c r="M5" s="164" t="s">
        <v>356</v>
      </c>
      <c r="N5" s="164" t="s">
        <v>355</v>
      </c>
      <c r="O5" s="160" t="s">
        <v>229</v>
      </c>
      <c r="P5" s="161" t="s">
        <v>248</v>
      </c>
      <c r="Q5" s="420"/>
    </row>
    <row r="6" spans="1:46" s="32" customFormat="1" ht="24.95" customHeight="1" x14ac:dyDescent="0.25">
      <c r="A6" s="424"/>
      <c r="B6" s="421"/>
      <c r="C6" s="160" t="s">
        <v>230</v>
      </c>
      <c r="D6" s="160" t="s">
        <v>231</v>
      </c>
      <c r="E6" s="160" t="s">
        <v>231</v>
      </c>
      <c r="F6" s="160" t="s">
        <v>231</v>
      </c>
      <c r="G6" s="160" t="s">
        <v>231</v>
      </c>
      <c r="H6" s="160" t="s">
        <v>232</v>
      </c>
      <c r="I6" s="160" t="s">
        <v>232</v>
      </c>
      <c r="J6" s="160" t="s">
        <v>233</v>
      </c>
      <c r="K6" s="160"/>
      <c r="L6" s="160" t="s">
        <v>233</v>
      </c>
      <c r="M6" s="160" t="s">
        <v>234</v>
      </c>
      <c r="N6" s="160" t="s">
        <v>234</v>
      </c>
      <c r="O6" s="160" t="s">
        <v>234</v>
      </c>
      <c r="P6" s="160" t="s">
        <v>231</v>
      </c>
      <c r="Q6" s="421"/>
      <c r="T6" s="409" t="s">
        <v>354</v>
      </c>
      <c r="U6" s="409"/>
      <c r="V6" s="409" t="s">
        <v>353</v>
      </c>
      <c r="W6" s="409"/>
      <c r="X6" s="409" t="s">
        <v>352</v>
      </c>
      <c r="Y6" s="409"/>
      <c r="Z6" s="409" t="s">
        <v>351</v>
      </c>
      <c r="AA6" s="409"/>
      <c r="AB6" s="409" t="s">
        <v>350</v>
      </c>
      <c r="AC6" s="409"/>
      <c r="AD6" s="409" t="s">
        <v>349</v>
      </c>
      <c r="AE6" s="409"/>
      <c r="AF6" s="409" t="s">
        <v>348</v>
      </c>
      <c r="AG6" s="409"/>
      <c r="AH6" s="409" t="s">
        <v>347</v>
      </c>
      <c r="AI6" s="409"/>
    </row>
    <row r="7" spans="1:46" s="166" customFormat="1" ht="24.95" customHeight="1" x14ac:dyDescent="0.25">
      <c r="A7" s="165">
        <v>1</v>
      </c>
      <c r="B7" s="165">
        <v>2</v>
      </c>
      <c r="C7" s="165">
        <v>3</v>
      </c>
      <c r="D7" s="165">
        <v>4</v>
      </c>
      <c r="E7" s="165">
        <v>5</v>
      </c>
      <c r="F7" s="165">
        <v>6</v>
      </c>
      <c r="G7" s="165">
        <v>7</v>
      </c>
      <c r="H7" s="165">
        <v>8</v>
      </c>
      <c r="I7" s="165">
        <v>9</v>
      </c>
      <c r="J7" s="165">
        <v>10</v>
      </c>
      <c r="K7" s="165">
        <v>11</v>
      </c>
      <c r="L7" s="165">
        <v>12</v>
      </c>
      <c r="M7" s="165">
        <v>13</v>
      </c>
      <c r="N7" s="165">
        <v>14</v>
      </c>
      <c r="O7" s="165">
        <v>15</v>
      </c>
      <c r="P7" s="165">
        <v>16</v>
      </c>
      <c r="Q7" s="165">
        <v>17</v>
      </c>
      <c r="T7" s="167">
        <v>9.43</v>
      </c>
      <c r="U7" s="167">
        <v>0.12</v>
      </c>
      <c r="V7" s="167">
        <v>12.77</v>
      </c>
      <c r="W7" s="167">
        <v>0.159</v>
      </c>
      <c r="X7" s="167">
        <v>10.11</v>
      </c>
      <c r="Y7" s="167">
        <v>0.108</v>
      </c>
      <c r="Z7" s="167">
        <v>9.64</v>
      </c>
      <c r="AA7" s="167">
        <v>0.11799999999999999</v>
      </c>
      <c r="AB7" s="167">
        <v>13.45</v>
      </c>
      <c r="AC7" s="167">
        <v>0.14699999999999999</v>
      </c>
      <c r="AD7" s="167">
        <v>12.81</v>
      </c>
      <c r="AE7" s="167">
        <v>0.157</v>
      </c>
      <c r="AF7" s="167">
        <v>9.7100000000000009</v>
      </c>
      <c r="AG7" s="167">
        <v>0.111</v>
      </c>
      <c r="AH7" s="167">
        <v>12.88</v>
      </c>
      <c r="AI7" s="167">
        <v>0.15</v>
      </c>
    </row>
    <row r="8" spans="1:46" s="33" customFormat="1" ht="39.950000000000003" customHeight="1" x14ac:dyDescent="0.15">
      <c r="A8" s="165">
        <v>3</v>
      </c>
      <c r="B8" s="163" t="s">
        <v>346</v>
      </c>
      <c r="C8" s="165">
        <v>12</v>
      </c>
      <c r="D8" s="167">
        <f>0.116*C8</f>
        <v>1.3920000000000001</v>
      </c>
      <c r="E8" s="167">
        <f>0.09*C8</f>
        <v>1.08</v>
      </c>
      <c r="F8" s="160">
        <v>0</v>
      </c>
      <c r="G8" s="167">
        <f>(AC7+AE7)*C8</f>
        <v>3.6479999999999997</v>
      </c>
      <c r="H8" s="160">
        <f>C8*10.24</f>
        <v>122.88</v>
      </c>
      <c r="I8" s="160">
        <f>(AB7+AD7)*C8</f>
        <v>315.12</v>
      </c>
      <c r="J8" s="160">
        <f>0.51*C8</f>
        <v>6.12</v>
      </c>
      <c r="K8" s="160"/>
      <c r="L8" s="160">
        <f>0.7*C8</f>
        <v>8.3999999999999986</v>
      </c>
      <c r="M8" s="165">
        <f>C8*2</f>
        <v>24</v>
      </c>
      <c r="N8" s="165">
        <f>C8*2</f>
        <v>24</v>
      </c>
      <c r="O8" s="165">
        <v>0</v>
      </c>
      <c r="P8" s="160">
        <f>1.35*C8</f>
        <v>16.200000000000003</v>
      </c>
      <c r="Q8" s="242" t="s">
        <v>345</v>
      </c>
    </row>
    <row r="9" spans="1:46" s="33" customFormat="1" ht="39.950000000000003" hidden="1" customHeight="1" x14ac:dyDescent="0.15">
      <c r="A9" s="165">
        <v>5</v>
      </c>
      <c r="B9" s="163" t="s">
        <v>344</v>
      </c>
      <c r="C9" s="165"/>
      <c r="D9" s="167">
        <f>0.225*C9</f>
        <v>0</v>
      </c>
      <c r="E9" s="167">
        <f>0.184*C9</f>
        <v>0</v>
      </c>
      <c r="F9" s="160">
        <v>0</v>
      </c>
      <c r="G9" s="167">
        <f>(AC7+AE7+AI7*2)*C9</f>
        <v>0</v>
      </c>
      <c r="H9" s="160">
        <f>C9*10.24</f>
        <v>0</v>
      </c>
      <c r="I9" s="160">
        <f>(AB7+AD7+AH7*2)*C9</f>
        <v>0</v>
      </c>
      <c r="J9" s="160">
        <f>1.53*C9</f>
        <v>0</v>
      </c>
      <c r="K9" s="160"/>
      <c r="L9" s="160">
        <f>1.4*C9</f>
        <v>0</v>
      </c>
      <c r="M9" s="165">
        <f>C9*4</f>
        <v>0</v>
      </c>
      <c r="N9" s="165">
        <f>C9*4</f>
        <v>0</v>
      </c>
      <c r="O9" s="165">
        <v>0</v>
      </c>
      <c r="P9" s="160">
        <f>1.88*C9</f>
        <v>0</v>
      </c>
      <c r="Q9" s="218" t="s">
        <v>343</v>
      </c>
    </row>
    <row r="10" spans="1:46" s="33" customFormat="1" ht="39.950000000000003" customHeight="1" x14ac:dyDescent="0.15">
      <c r="A10" s="165"/>
      <c r="B10" s="163" t="s">
        <v>42</v>
      </c>
      <c r="C10" s="165">
        <f t="shared" ref="C10:L10" si="0">SUM(C8:C9)</f>
        <v>12</v>
      </c>
      <c r="D10" s="167">
        <f t="shared" si="0"/>
        <v>1.3920000000000001</v>
      </c>
      <c r="E10" s="167">
        <f t="shared" si="0"/>
        <v>1.08</v>
      </c>
      <c r="F10" s="160">
        <f t="shared" si="0"/>
        <v>0</v>
      </c>
      <c r="G10" s="167">
        <f t="shared" si="0"/>
        <v>3.6479999999999997</v>
      </c>
      <c r="H10" s="160">
        <f t="shared" si="0"/>
        <v>122.88</v>
      </c>
      <c r="I10" s="160">
        <f t="shared" si="0"/>
        <v>315.12</v>
      </c>
      <c r="J10" s="160">
        <f t="shared" si="0"/>
        <v>6.12</v>
      </c>
      <c r="K10" s="160">
        <f t="shared" si="0"/>
        <v>0</v>
      </c>
      <c r="L10" s="160">
        <f t="shared" si="0"/>
        <v>8.3999999999999986</v>
      </c>
      <c r="M10" s="165">
        <f>SUM(M8:M9)</f>
        <v>24</v>
      </c>
      <c r="N10" s="165">
        <f>SUM(N8:N9)</f>
        <v>24</v>
      </c>
      <c r="O10" s="165">
        <f>SUM(O8:O9)</f>
        <v>0</v>
      </c>
      <c r="P10" s="160">
        <f>SUM(P8:P9)</f>
        <v>16.200000000000003</v>
      </c>
      <c r="Q10" s="168"/>
    </row>
    <row r="11" spans="1:46" s="33" customFormat="1" ht="39.950000000000003" customHeight="1" x14ac:dyDescent="0.15">
      <c r="A11" s="165"/>
      <c r="B11" s="163"/>
      <c r="C11" s="165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5"/>
      <c r="O11" s="165"/>
      <c r="P11" s="160"/>
      <c r="Q11" s="168"/>
    </row>
    <row r="12" spans="1:46" s="23" customFormat="1" ht="20.100000000000001" customHeight="1" x14ac:dyDescent="0.15">
      <c r="A12" s="169"/>
      <c r="B12" s="84"/>
      <c r="C12" s="84"/>
      <c r="D12" s="84"/>
      <c r="R12" s="33"/>
      <c r="S12" s="33"/>
      <c r="T12" s="33"/>
      <c r="U12" s="33"/>
      <c r="V12" s="219" t="s">
        <v>341</v>
      </c>
      <c r="W12" s="227" t="s">
        <v>340</v>
      </c>
      <c r="X12" s="227" t="s">
        <v>339</v>
      </c>
      <c r="Y12" s="227" t="s">
        <v>338</v>
      </c>
      <c r="Z12" s="219" t="s">
        <v>336</v>
      </c>
      <c r="AA12" s="219" t="s">
        <v>335</v>
      </c>
      <c r="AB12" s="407" t="s">
        <v>334</v>
      </c>
      <c r="AC12" s="409"/>
      <c r="AD12" s="406" t="s">
        <v>342</v>
      </c>
      <c r="AE12" s="407"/>
      <c r="AF12" s="404" t="s">
        <v>332</v>
      </c>
      <c r="AG12" s="405"/>
      <c r="AK12" s="219" t="s">
        <v>341</v>
      </c>
      <c r="AL12" s="227" t="s">
        <v>340</v>
      </c>
      <c r="AM12" s="227" t="s">
        <v>339</v>
      </c>
      <c r="AN12" s="227" t="s">
        <v>338</v>
      </c>
      <c r="AO12" s="227" t="s">
        <v>337</v>
      </c>
      <c r="AP12" s="219" t="s">
        <v>336</v>
      </c>
      <c r="AQ12" s="219" t="s">
        <v>335</v>
      </c>
      <c r="AR12" s="219" t="s">
        <v>334</v>
      </c>
      <c r="AS12" s="226" t="s">
        <v>333</v>
      </c>
      <c r="AT12" s="33" t="s">
        <v>332</v>
      </c>
    </row>
    <row r="13" spans="1:46" ht="20.100000000000001" customHeight="1" x14ac:dyDescent="0.15">
      <c r="B13" s="84"/>
      <c r="C13" s="84"/>
      <c r="D13" s="84"/>
      <c r="V13" s="225" t="s">
        <v>329</v>
      </c>
      <c r="W13" s="225" t="s">
        <v>329</v>
      </c>
      <c r="X13" s="225" t="s">
        <v>315</v>
      </c>
      <c r="Y13" s="225" t="s">
        <v>315</v>
      </c>
      <c r="Z13" s="225" t="s">
        <v>316</v>
      </c>
      <c r="AA13" s="225" t="s">
        <v>316</v>
      </c>
      <c r="AB13" s="408" t="s">
        <v>330</v>
      </c>
      <c r="AC13" s="409"/>
      <c r="AD13" s="408" t="s">
        <v>330</v>
      </c>
      <c r="AE13" s="409"/>
      <c r="AF13" s="404" t="s">
        <v>331</v>
      </c>
      <c r="AG13" s="405"/>
      <c r="AK13" s="225" t="s">
        <v>329</v>
      </c>
      <c r="AL13" s="225" t="s">
        <v>329</v>
      </c>
      <c r="AM13" s="225" t="s">
        <v>315</v>
      </c>
      <c r="AN13" s="225" t="s">
        <v>315</v>
      </c>
      <c r="AO13" s="225" t="s">
        <v>315</v>
      </c>
      <c r="AP13" s="225" t="s">
        <v>316</v>
      </c>
      <c r="AQ13" s="225" t="s">
        <v>316</v>
      </c>
      <c r="AR13" s="219" t="s">
        <v>330</v>
      </c>
      <c r="AS13" s="219" t="s">
        <v>330</v>
      </c>
      <c r="AT13" s="224" t="s">
        <v>329</v>
      </c>
    </row>
    <row r="14" spans="1:46" ht="20.100000000000001" customHeight="1" x14ac:dyDescent="0.15">
      <c r="C14" s="84"/>
      <c r="D14" s="84"/>
      <c r="V14" s="223">
        <v>0.11600000000000001</v>
      </c>
      <c r="W14" s="221">
        <v>0.09</v>
      </c>
      <c r="X14" s="222">
        <v>1</v>
      </c>
      <c r="Y14" s="222">
        <v>1</v>
      </c>
      <c r="Z14" s="222">
        <v>1</v>
      </c>
      <c r="AA14" s="222">
        <v>1</v>
      </c>
      <c r="AB14" s="410">
        <v>0.51</v>
      </c>
      <c r="AC14" s="410"/>
      <c r="AD14" s="410">
        <v>0.7</v>
      </c>
      <c r="AE14" s="410"/>
      <c r="AF14" s="404">
        <f>1.82*0.74</f>
        <v>1.3468</v>
      </c>
      <c r="AG14" s="405"/>
      <c r="AK14" s="223">
        <v>0.22500000000000001</v>
      </c>
      <c r="AL14" s="223">
        <v>0.184</v>
      </c>
      <c r="AM14" s="222">
        <v>1</v>
      </c>
      <c r="AN14" s="222">
        <v>1</v>
      </c>
      <c r="AO14" s="222">
        <v>2</v>
      </c>
      <c r="AP14" s="222">
        <v>1</v>
      </c>
      <c r="AQ14" s="222">
        <v>1</v>
      </c>
      <c r="AR14" s="219">
        <v>1.53</v>
      </c>
      <c r="AS14" s="221">
        <v>1.4</v>
      </c>
      <c r="AT14" s="33">
        <f>2.68*0.7</f>
        <v>1.8759999999999999</v>
      </c>
    </row>
    <row r="15" spans="1:46" ht="20.100000000000001" customHeight="1" x14ac:dyDescent="0.15">
      <c r="C15" s="84"/>
      <c r="D15" s="84"/>
      <c r="V15" s="411" t="s">
        <v>328</v>
      </c>
      <c r="W15" s="412"/>
      <c r="X15" s="412"/>
      <c r="Y15" s="412"/>
      <c r="Z15" s="412"/>
      <c r="AA15" s="412"/>
      <c r="AB15" s="412"/>
      <c r="AC15" s="412"/>
      <c r="AD15" s="412"/>
      <c r="AE15" s="413"/>
      <c r="AF15" s="220"/>
      <c r="AG15" s="220"/>
      <c r="AK15" s="403" t="s">
        <v>327</v>
      </c>
      <c r="AL15" s="403"/>
      <c r="AM15" s="403"/>
      <c r="AN15" s="403"/>
      <c r="AO15" s="403"/>
      <c r="AP15" s="403"/>
      <c r="AQ15" s="403"/>
      <c r="AR15" s="403"/>
      <c r="AS15" s="403"/>
    </row>
    <row r="16" spans="1:46" ht="20.100000000000001" customHeight="1" x14ac:dyDescent="0.15">
      <c r="C16" s="84"/>
      <c r="D16" s="84"/>
      <c r="V16" s="414"/>
      <c r="W16" s="415"/>
      <c r="X16" s="415"/>
      <c r="Y16" s="415"/>
      <c r="Z16" s="415"/>
      <c r="AA16" s="415"/>
      <c r="AB16" s="415"/>
      <c r="AC16" s="415"/>
      <c r="AD16" s="415"/>
      <c r="AE16" s="416"/>
      <c r="AF16" s="220"/>
      <c r="AG16" s="220"/>
      <c r="AK16" s="403"/>
      <c r="AL16" s="403"/>
      <c r="AM16" s="403"/>
      <c r="AN16" s="403"/>
      <c r="AO16" s="403"/>
      <c r="AP16" s="403"/>
      <c r="AQ16" s="403"/>
      <c r="AR16" s="403"/>
      <c r="AS16" s="403"/>
    </row>
    <row r="17" spans="3:4" ht="20.100000000000001" customHeight="1" x14ac:dyDescent="0.15">
      <c r="C17" s="84"/>
      <c r="D17" s="84"/>
    </row>
    <row r="18" spans="3:4" ht="20.100000000000001" customHeight="1" x14ac:dyDescent="0.15">
      <c r="C18" s="84"/>
      <c r="D18" s="84"/>
    </row>
    <row r="19" spans="3:4" ht="20.100000000000001" customHeight="1" x14ac:dyDescent="0.15">
      <c r="C19" s="84"/>
      <c r="D19" s="84"/>
    </row>
    <row r="20" spans="3:4" ht="20.100000000000001" customHeight="1" x14ac:dyDescent="0.15">
      <c r="C20" s="84"/>
      <c r="D20" s="84"/>
    </row>
    <row r="21" spans="3:4" ht="20.100000000000001" customHeight="1" x14ac:dyDescent="0.15">
      <c r="C21" s="84"/>
      <c r="D21" s="84"/>
    </row>
  </sheetData>
  <mergeCells count="28">
    <mergeCell ref="AD6:AE6"/>
    <mergeCell ref="A4:A6"/>
    <mergeCell ref="B4:B6"/>
    <mergeCell ref="C4:C5"/>
    <mergeCell ref="D4:D5"/>
    <mergeCell ref="E4:E5"/>
    <mergeCell ref="H4:H5"/>
    <mergeCell ref="T6:U6"/>
    <mergeCell ref="V6:W6"/>
    <mergeCell ref="X6:Y6"/>
    <mergeCell ref="Z6:AA6"/>
    <mergeCell ref="AB6:AC6"/>
    <mergeCell ref="A1:Q1"/>
    <mergeCell ref="AK15:AS16"/>
    <mergeCell ref="AF12:AG12"/>
    <mergeCell ref="AF13:AG13"/>
    <mergeCell ref="AF14:AG14"/>
    <mergeCell ref="AD12:AE12"/>
    <mergeCell ref="AD13:AE13"/>
    <mergeCell ref="AD14:AE14"/>
    <mergeCell ref="V15:AE16"/>
    <mergeCell ref="AB12:AC12"/>
    <mergeCell ref="AB13:AC13"/>
    <mergeCell ref="AB14:AC14"/>
    <mergeCell ref="M4:N4"/>
    <mergeCell ref="Q4:Q6"/>
    <mergeCell ref="AF6:AG6"/>
    <mergeCell ref="AH6:AI6"/>
  </mergeCells>
  <phoneticPr fontId="6" type="noConversion"/>
  <pageMargins left="0.75" right="0.75" top="1" bottom="1" header="0.5" footer="0.5"/>
  <pageSetup paperSize="8" scale="73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16"/>
  <sheetViews>
    <sheetView view="pageBreakPreview" zoomScaleNormal="100" zoomScaleSheetLayoutView="100" workbookViewId="0">
      <selection activeCell="D17" sqref="D17"/>
    </sheetView>
  </sheetViews>
  <sheetFormatPr defaultRowHeight="15.75" x14ac:dyDescent="0.25"/>
  <cols>
    <col min="1" max="1" width="5.625" style="32" customWidth="1"/>
    <col min="2" max="2" width="15.625" style="32" customWidth="1"/>
    <col min="3" max="3" width="18.625" style="32" customWidth="1"/>
    <col min="4" max="5" width="15.625" style="32" customWidth="1"/>
    <col min="6" max="6" width="15.625" style="157" hidden="1" customWidth="1"/>
    <col min="7" max="8" width="15.625" style="32" customWidth="1"/>
    <col min="9" max="9" width="15.625" style="158" hidden="1" customWidth="1"/>
    <col min="10" max="11" width="15.625" style="32" hidden="1" customWidth="1"/>
    <col min="12" max="12" width="15.625" style="32" customWidth="1"/>
    <col min="13" max="13" width="20.625" style="32" customWidth="1"/>
    <col min="14" max="15" width="15.625" style="32" customWidth="1"/>
    <col min="16" max="16" width="23.5" style="32" customWidth="1"/>
    <col min="17" max="16384" width="9" style="32"/>
  </cols>
  <sheetData>
    <row r="1" spans="1:17" s="33" customFormat="1" ht="25.5" customHeight="1" x14ac:dyDescent="0.15">
      <c r="A1" s="300" t="s">
        <v>313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</row>
    <row r="2" spans="1:17" s="33" customFormat="1" ht="21.95" customHeight="1" x14ac:dyDescent="0.15">
      <c r="A2" s="79"/>
      <c r="B2" s="83"/>
      <c r="C2" s="79"/>
      <c r="D2" s="83"/>
      <c r="F2" s="146"/>
      <c r="H2" s="87"/>
      <c r="I2" s="147" t="s">
        <v>196</v>
      </c>
      <c r="J2" s="148"/>
      <c r="N2" s="33" t="s">
        <v>197</v>
      </c>
    </row>
    <row r="3" spans="1:17" s="33" customFormat="1" ht="21.95" customHeight="1" x14ac:dyDescent="0.15">
      <c r="A3" s="79" t="s">
        <v>404</v>
      </c>
      <c r="B3" s="83"/>
      <c r="C3" s="79"/>
      <c r="D3" s="83"/>
      <c r="F3" s="146"/>
      <c r="H3" s="87"/>
      <c r="I3" s="147"/>
      <c r="J3" s="148"/>
      <c r="P3" s="40" t="s">
        <v>380</v>
      </c>
      <c r="Q3" s="241"/>
    </row>
    <row r="4" spans="1:17" s="33" customFormat="1" ht="39.950000000000003" customHeight="1" x14ac:dyDescent="0.15">
      <c r="A4" s="430" t="s">
        <v>198</v>
      </c>
      <c r="B4" s="430" t="s">
        <v>199</v>
      </c>
      <c r="C4" s="430" t="s">
        <v>200</v>
      </c>
      <c r="D4" s="150" t="s">
        <v>201</v>
      </c>
      <c r="E4" s="150" t="s">
        <v>202</v>
      </c>
      <c r="F4" s="150" t="s">
        <v>203</v>
      </c>
      <c r="G4" s="150" t="s">
        <v>204</v>
      </c>
      <c r="H4" s="150" t="s">
        <v>205</v>
      </c>
      <c r="I4" s="151" t="s">
        <v>206</v>
      </c>
      <c r="J4" s="150" t="s">
        <v>207</v>
      </c>
      <c r="K4" s="150" t="s">
        <v>208</v>
      </c>
      <c r="L4" s="150" t="s">
        <v>209</v>
      </c>
      <c r="M4" s="152" t="s">
        <v>326</v>
      </c>
      <c r="N4" s="150" t="s">
        <v>210</v>
      </c>
      <c r="O4" s="152" t="s">
        <v>175</v>
      </c>
      <c r="P4" s="430" t="s">
        <v>211</v>
      </c>
    </row>
    <row r="5" spans="1:17" s="33" customFormat="1" ht="20.100000000000001" customHeight="1" x14ac:dyDescent="0.15">
      <c r="A5" s="431"/>
      <c r="B5" s="431"/>
      <c r="C5" s="431"/>
      <c r="D5" s="153" t="s">
        <v>212</v>
      </c>
      <c r="E5" s="153" t="s">
        <v>213</v>
      </c>
      <c r="F5" s="153" t="s">
        <v>213</v>
      </c>
      <c r="G5" s="153" t="s">
        <v>213</v>
      </c>
      <c r="H5" s="153" t="s">
        <v>212</v>
      </c>
      <c r="I5" s="154" t="s">
        <v>214</v>
      </c>
      <c r="J5" s="153" t="s">
        <v>214</v>
      </c>
      <c r="K5" s="153" t="s">
        <v>212</v>
      </c>
      <c r="L5" s="153" t="s">
        <v>213</v>
      </c>
      <c r="M5" s="153" t="s">
        <v>213</v>
      </c>
      <c r="N5" s="153" t="s">
        <v>213</v>
      </c>
      <c r="O5" s="153" t="s">
        <v>213</v>
      </c>
      <c r="P5" s="431"/>
    </row>
    <row r="6" spans="1:17" s="33" customFormat="1" ht="21.95" customHeight="1" x14ac:dyDescent="0.15">
      <c r="A6" s="153">
        <v>1</v>
      </c>
      <c r="B6" s="153">
        <v>2</v>
      </c>
      <c r="C6" s="153">
        <v>3</v>
      </c>
      <c r="D6" s="153">
        <v>4</v>
      </c>
      <c r="E6" s="153">
        <v>5</v>
      </c>
      <c r="F6" s="153">
        <v>6</v>
      </c>
      <c r="G6" s="153">
        <v>7</v>
      </c>
      <c r="H6" s="153">
        <v>8</v>
      </c>
      <c r="I6" s="154">
        <v>9</v>
      </c>
      <c r="J6" s="153">
        <v>10</v>
      </c>
      <c r="K6" s="153">
        <v>11</v>
      </c>
      <c r="L6" s="153">
        <v>12</v>
      </c>
      <c r="M6" s="153">
        <v>13</v>
      </c>
      <c r="N6" s="153">
        <v>14</v>
      </c>
      <c r="O6" s="153">
        <v>15</v>
      </c>
      <c r="P6" s="153">
        <v>16</v>
      </c>
    </row>
    <row r="7" spans="1:17" s="33" customFormat="1" ht="45.75" customHeight="1" x14ac:dyDescent="0.15">
      <c r="A7" s="153">
        <v>1</v>
      </c>
      <c r="B7" s="153" t="s">
        <v>215</v>
      </c>
      <c r="C7" s="153" t="s">
        <v>216</v>
      </c>
      <c r="D7" s="154">
        <v>46</v>
      </c>
      <c r="E7" s="155">
        <f>D7*0.052</f>
        <v>2.3919999999999999</v>
      </c>
      <c r="F7" s="153">
        <v>0</v>
      </c>
      <c r="G7" s="155">
        <f>H7*0.189</f>
        <v>4.3470000000000004</v>
      </c>
      <c r="H7" s="155">
        <f>D7/2</f>
        <v>23</v>
      </c>
      <c r="I7" s="154">
        <f>D7/2</f>
        <v>23</v>
      </c>
      <c r="J7" s="151">
        <v>0</v>
      </c>
      <c r="K7" s="151">
        <v>0</v>
      </c>
      <c r="L7" s="155">
        <f>D7*2.7</f>
        <v>124.2</v>
      </c>
      <c r="M7" s="155">
        <f>D7*2.36</f>
        <v>108.55999999999999</v>
      </c>
      <c r="N7" s="155">
        <v>0</v>
      </c>
      <c r="O7" s="155">
        <f>L7</f>
        <v>124.2</v>
      </c>
      <c r="P7" s="156" t="s">
        <v>217</v>
      </c>
    </row>
    <row r="8" spans="1:17" s="33" customFormat="1" ht="45.75" customHeight="1" x14ac:dyDescent="0.15">
      <c r="A8" s="153">
        <v>2</v>
      </c>
      <c r="B8" s="250" t="s">
        <v>267</v>
      </c>
      <c r="C8" s="251" t="s">
        <v>418</v>
      </c>
      <c r="D8" s="252">
        <v>245</v>
      </c>
      <c r="E8" s="253">
        <f>0.0064*D8</f>
        <v>1.5680000000000001</v>
      </c>
      <c r="F8" s="251">
        <v>0</v>
      </c>
      <c r="G8" s="253">
        <f>0.25*D8</f>
        <v>61.25</v>
      </c>
      <c r="H8" s="253">
        <f>D8/2</f>
        <v>122.5</v>
      </c>
      <c r="I8" s="252">
        <f>D8/2</f>
        <v>122.5</v>
      </c>
      <c r="J8" s="254">
        <v>0</v>
      </c>
      <c r="K8" s="254">
        <v>0</v>
      </c>
      <c r="L8" s="253">
        <f>D8*3.2</f>
        <v>784</v>
      </c>
      <c r="M8" s="253">
        <f>D8*2.7</f>
        <v>661.5</v>
      </c>
      <c r="N8" s="253">
        <v>0</v>
      </c>
      <c r="O8" s="253">
        <f>L8</f>
        <v>784</v>
      </c>
      <c r="P8" s="255" t="s">
        <v>217</v>
      </c>
    </row>
    <row r="9" spans="1:17" s="33" customFormat="1" ht="45.75" customHeight="1" x14ac:dyDescent="0.15">
      <c r="A9" s="153"/>
      <c r="B9" s="153"/>
      <c r="C9" s="153" t="s">
        <v>218</v>
      </c>
      <c r="D9" s="154">
        <f t="shared" ref="D9:O9" si="0">SUM(D7:D8)</f>
        <v>291</v>
      </c>
      <c r="E9" s="155">
        <f t="shared" si="0"/>
        <v>3.96</v>
      </c>
      <c r="F9" s="153">
        <f t="shared" si="0"/>
        <v>0</v>
      </c>
      <c r="G9" s="155">
        <f t="shared" si="0"/>
        <v>65.596999999999994</v>
      </c>
      <c r="H9" s="155">
        <f t="shared" si="0"/>
        <v>145.5</v>
      </c>
      <c r="I9" s="154">
        <f t="shared" si="0"/>
        <v>145.5</v>
      </c>
      <c r="J9" s="151">
        <f t="shared" si="0"/>
        <v>0</v>
      </c>
      <c r="K9" s="151">
        <f t="shared" si="0"/>
        <v>0</v>
      </c>
      <c r="L9" s="155">
        <f t="shared" si="0"/>
        <v>908.2</v>
      </c>
      <c r="M9" s="155">
        <f t="shared" si="0"/>
        <v>770.06</v>
      </c>
      <c r="N9" s="155">
        <f t="shared" si="0"/>
        <v>0</v>
      </c>
      <c r="O9" s="155">
        <f t="shared" si="0"/>
        <v>908.2</v>
      </c>
      <c r="P9" s="153"/>
    </row>
    <row r="10" spans="1:17" s="33" customFormat="1" ht="29.25" customHeight="1" x14ac:dyDescent="0.15">
      <c r="F10" s="146"/>
      <c r="I10" s="147"/>
    </row>
    <row r="16" spans="1:17" x14ac:dyDescent="0.25">
      <c r="B16" s="158"/>
    </row>
  </sheetData>
  <mergeCells count="5">
    <mergeCell ref="A1:P1"/>
    <mergeCell ref="A4:A5"/>
    <mergeCell ref="B4:B5"/>
    <mergeCell ref="C4:C5"/>
    <mergeCell ref="P4:P5"/>
  </mergeCells>
  <phoneticPr fontId="6" type="noConversion"/>
  <pageMargins left="1.1805555555555556" right="0.74791666666666667" top="1.2597222222222222" bottom="0.98402777777777772" header="0.51111111111111107" footer="0.51111111111111107"/>
  <pageSetup paperSize="8" scale="90" orientation="landscape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K42"/>
  <sheetViews>
    <sheetView zoomScaleNormal="100" workbookViewId="0">
      <selection activeCell="X25" sqref="X25"/>
    </sheetView>
  </sheetViews>
  <sheetFormatPr defaultColWidth="9" defaultRowHeight="14.25" x14ac:dyDescent="0.15"/>
  <cols>
    <col min="1" max="1" width="14.375" style="137" customWidth="1"/>
    <col min="2" max="2" width="14.625" style="137" customWidth="1"/>
    <col min="3" max="3" width="12.375" style="137" customWidth="1"/>
    <col min="4" max="4" width="12.125" style="136" hidden="1" customWidth="1"/>
    <col min="5" max="6" width="10.625" style="137" hidden="1" customWidth="1"/>
    <col min="7" max="7" width="10.375" style="137" hidden="1" customWidth="1"/>
    <col min="8" max="10" width="10.625" style="137" hidden="1" customWidth="1"/>
    <col min="11" max="11" width="6.875" style="137" customWidth="1"/>
    <col min="12" max="12" width="10.375" style="138" customWidth="1"/>
    <col min="13" max="13" width="13.875" style="137" customWidth="1"/>
    <col min="14" max="14" width="14.625" style="138" customWidth="1"/>
    <col min="15" max="15" width="10.625" style="137" hidden="1" customWidth="1"/>
    <col min="16" max="16" width="8.875" style="137" hidden="1" customWidth="1"/>
    <col min="17" max="17" width="9.875" style="137" hidden="1" customWidth="1"/>
    <col min="18" max="18" width="10.625" style="137" hidden="1" customWidth="1"/>
    <col min="19" max="19" width="5.75" style="176" hidden="1" customWidth="1"/>
    <col min="20" max="20" width="9.875" style="137" customWidth="1"/>
    <col min="21" max="21" width="8.125" style="137" hidden="1" customWidth="1"/>
    <col min="22" max="22" width="12.625" style="141" customWidth="1"/>
    <col min="23" max="23" width="8.875" style="141" customWidth="1"/>
    <col min="24" max="24" width="12.375" style="175" customWidth="1"/>
    <col min="25" max="25" width="12.75" style="175" customWidth="1"/>
    <col min="26" max="26" width="11.25" style="175" customWidth="1"/>
    <col min="27" max="27" width="24.75" style="137" customWidth="1"/>
    <col min="28" max="28" width="9" style="137" customWidth="1"/>
    <col min="29" max="29" width="11.375" style="137" customWidth="1"/>
    <col min="30" max="30" width="11.25" style="137" customWidth="1"/>
    <col min="31" max="31" width="9.875" style="137" customWidth="1"/>
    <col min="32" max="32" width="11" style="137" customWidth="1"/>
    <col min="33" max="33" width="12.5" style="137" customWidth="1"/>
    <col min="34" max="16384" width="9" style="137"/>
  </cols>
  <sheetData>
    <row r="1" spans="1:37" s="23" customFormat="1" ht="30" customHeight="1" x14ac:dyDescent="0.15">
      <c r="A1" s="432" t="s">
        <v>313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  <c r="Q1" s="432"/>
      <c r="R1" s="432"/>
      <c r="S1" s="432"/>
      <c r="T1" s="432"/>
      <c r="U1" s="432"/>
      <c r="V1" s="432"/>
      <c r="W1" s="432"/>
      <c r="X1" s="432"/>
      <c r="Y1" s="432"/>
      <c r="Z1" s="432"/>
      <c r="AA1" s="432"/>
    </row>
    <row r="2" spans="1:37" s="87" customFormat="1" ht="24" customHeight="1" x14ac:dyDescent="0.15">
      <c r="A2" s="216"/>
      <c r="B2" s="213"/>
      <c r="C2" s="213"/>
      <c r="D2" s="215"/>
      <c r="E2" s="213"/>
      <c r="F2" s="213"/>
      <c r="G2" s="213"/>
      <c r="H2" s="213"/>
      <c r="I2" s="213"/>
      <c r="L2" s="214"/>
      <c r="N2" s="214"/>
      <c r="S2" s="213"/>
      <c r="T2" s="213"/>
      <c r="U2" s="433" t="s">
        <v>312</v>
      </c>
      <c r="V2" s="434"/>
      <c r="W2" s="434"/>
      <c r="X2" s="213"/>
      <c r="Y2" s="213"/>
      <c r="Z2" s="435" t="s">
        <v>311</v>
      </c>
      <c r="AA2" s="436"/>
    </row>
    <row r="3" spans="1:37" s="99" customFormat="1" ht="23.25" customHeight="1" x14ac:dyDescent="0.15">
      <c r="A3" s="437" t="s">
        <v>310</v>
      </c>
      <c r="B3" s="437" t="s">
        <v>309</v>
      </c>
      <c r="C3" s="437" t="s">
        <v>308</v>
      </c>
      <c r="D3" s="438" t="s">
        <v>307</v>
      </c>
      <c r="E3" s="437" t="s">
        <v>306</v>
      </c>
      <c r="F3" s="437" t="s">
        <v>305</v>
      </c>
      <c r="G3" s="439" t="s">
        <v>304</v>
      </c>
      <c r="H3" s="439"/>
      <c r="I3" s="439"/>
      <c r="J3" s="441" t="s">
        <v>303</v>
      </c>
      <c r="K3" s="441" t="s">
        <v>302</v>
      </c>
      <c r="L3" s="440" t="s">
        <v>301</v>
      </c>
      <c r="M3" s="441" t="s">
        <v>300</v>
      </c>
      <c r="N3" s="440" t="s">
        <v>299</v>
      </c>
      <c r="O3" s="441" t="s">
        <v>298</v>
      </c>
      <c r="P3" s="441" t="s">
        <v>297</v>
      </c>
      <c r="Q3" s="441" t="s">
        <v>296</v>
      </c>
      <c r="R3" s="441" t="s">
        <v>295</v>
      </c>
      <c r="S3" s="448" t="s">
        <v>294</v>
      </c>
      <c r="T3" s="437" t="s">
        <v>293</v>
      </c>
      <c r="U3" s="437" t="s">
        <v>292</v>
      </c>
      <c r="V3" s="437" t="s">
        <v>291</v>
      </c>
      <c r="W3" s="437"/>
      <c r="X3" s="446" t="s">
        <v>290</v>
      </c>
      <c r="Y3" s="447"/>
      <c r="Z3" s="449" t="s">
        <v>289</v>
      </c>
      <c r="AA3" s="437" t="s">
        <v>288</v>
      </c>
      <c r="AC3" s="340" t="s">
        <v>287</v>
      </c>
      <c r="AD3" s="340" t="s">
        <v>286</v>
      </c>
      <c r="AE3" s="340" t="s">
        <v>285</v>
      </c>
      <c r="AF3" s="340" t="s">
        <v>284</v>
      </c>
      <c r="AG3" s="340" t="s">
        <v>283</v>
      </c>
      <c r="AH3" s="444" t="s">
        <v>282</v>
      </c>
      <c r="AI3" s="444" t="s">
        <v>281</v>
      </c>
      <c r="AJ3" s="445" t="s">
        <v>280</v>
      </c>
      <c r="AK3" s="445" t="s">
        <v>279</v>
      </c>
    </row>
    <row r="4" spans="1:37" s="99" customFormat="1" ht="28.5" customHeight="1" x14ac:dyDescent="0.15">
      <c r="A4" s="437"/>
      <c r="B4" s="437"/>
      <c r="C4" s="437"/>
      <c r="D4" s="438"/>
      <c r="E4" s="437"/>
      <c r="F4" s="437"/>
      <c r="G4" s="211" t="s">
        <v>278</v>
      </c>
      <c r="H4" s="211" t="s">
        <v>277</v>
      </c>
      <c r="I4" s="211" t="s">
        <v>276</v>
      </c>
      <c r="J4" s="441"/>
      <c r="K4" s="441"/>
      <c r="L4" s="440"/>
      <c r="M4" s="441"/>
      <c r="N4" s="440"/>
      <c r="O4" s="441"/>
      <c r="P4" s="441"/>
      <c r="Q4" s="441"/>
      <c r="R4" s="441"/>
      <c r="S4" s="448"/>
      <c r="T4" s="437"/>
      <c r="U4" s="437"/>
      <c r="V4" s="212" t="s">
        <v>275</v>
      </c>
      <c r="W4" s="212" t="s">
        <v>43</v>
      </c>
      <c r="X4" s="208" t="s">
        <v>274</v>
      </c>
      <c r="Y4" s="208" t="s">
        <v>273</v>
      </c>
      <c r="Z4" s="450"/>
      <c r="AA4" s="437"/>
      <c r="AC4" s="340"/>
      <c r="AD4" s="340"/>
      <c r="AE4" s="340"/>
      <c r="AF4" s="340"/>
      <c r="AG4" s="340"/>
      <c r="AH4" s="444"/>
      <c r="AI4" s="444"/>
      <c r="AJ4" s="445"/>
      <c r="AK4" s="445"/>
    </row>
    <row r="5" spans="1:37" s="99" customFormat="1" ht="17.25" customHeight="1" x14ac:dyDescent="0.15">
      <c r="A5" s="437"/>
      <c r="B5" s="437"/>
      <c r="C5" s="437"/>
      <c r="D5" s="438"/>
      <c r="E5" s="437"/>
      <c r="F5" s="437"/>
      <c r="G5" s="204" t="s">
        <v>32</v>
      </c>
      <c r="H5" s="204" t="s">
        <v>32</v>
      </c>
      <c r="I5" s="204" t="s">
        <v>32</v>
      </c>
      <c r="J5" s="186" t="s">
        <v>32</v>
      </c>
      <c r="K5" s="441"/>
      <c r="L5" s="189" t="s">
        <v>271</v>
      </c>
      <c r="M5" s="186" t="s">
        <v>271</v>
      </c>
      <c r="N5" s="189" t="s">
        <v>269</v>
      </c>
      <c r="O5" s="186" t="s">
        <v>52</v>
      </c>
      <c r="P5" s="186" t="s">
        <v>269</v>
      </c>
      <c r="Q5" s="186"/>
      <c r="R5" s="186" t="s">
        <v>272</v>
      </c>
      <c r="S5" s="208" t="s">
        <v>272</v>
      </c>
      <c r="T5" s="208" t="s">
        <v>271</v>
      </c>
      <c r="U5" s="208" t="s">
        <v>270</v>
      </c>
      <c r="V5" s="208" t="s">
        <v>269</v>
      </c>
      <c r="W5" s="212" t="s">
        <v>269</v>
      </c>
      <c r="X5" s="212" t="s">
        <v>269</v>
      </c>
      <c r="Y5" s="212" t="s">
        <v>269</v>
      </c>
      <c r="Z5" s="212" t="s">
        <v>269</v>
      </c>
      <c r="AA5" s="437"/>
      <c r="AB5" s="99">
        <v>0.2</v>
      </c>
      <c r="AC5" s="340"/>
      <c r="AD5" s="340"/>
      <c r="AE5" s="340"/>
      <c r="AF5" s="340"/>
      <c r="AG5" s="340"/>
      <c r="AH5" s="444"/>
      <c r="AI5" s="444"/>
      <c r="AJ5" s="445"/>
      <c r="AK5" s="445"/>
    </row>
    <row r="6" spans="1:37" s="87" customFormat="1" ht="18" customHeight="1" x14ac:dyDescent="0.15">
      <c r="A6" s="208">
        <v>1</v>
      </c>
      <c r="B6" s="208">
        <v>2</v>
      </c>
      <c r="C6" s="208">
        <v>3</v>
      </c>
      <c r="D6" s="205"/>
      <c r="E6" s="208"/>
      <c r="F6" s="208"/>
      <c r="G6" s="211"/>
      <c r="H6" s="211"/>
      <c r="I6" s="211"/>
      <c r="J6" s="186"/>
      <c r="K6" s="186"/>
      <c r="L6" s="189"/>
      <c r="M6" s="192"/>
      <c r="N6" s="199">
        <v>5</v>
      </c>
      <c r="O6" s="192"/>
      <c r="P6" s="192">
        <v>6</v>
      </c>
      <c r="Q6" s="192"/>
      <c r="R6" s="192"/>
      <c r="S6" s="210"/>
      <c r="T6" s="209"/>
      <c r="U6" s="209">
        <v>7</v>
      </c>
      <c r="V6" s="209">
        <v>8</v>
      </c>
      <c r="W6" s="209">
        <v>9</v>
      </c>
      <c r="X6" s="209">
        <v>14</v>
      </c>
      <c r="Y6" s="209">
        <v>15</v>
      </c>
      <c r="Z6" s="209">
        <v>17</v>
      </c>
      <c r="AA6" s="208">
        <v>18</v>
      </c>
      <c r="AC6" s="87" t="s">
        <v>31</v>
      </c>
      <c r="AD6" s="87" t="s">
        <v>31</v>
      </c>
      <c r="AE6" s="87" t="s">
        <v>268</v>
      </c>
      <c r="AF6" s="87" t="s">
        <v>31</v>
      </c>
      <c r="AH6" s="444"/>
      <c r="AI6" s="444"/>
      <c r="AJ6" s="445"/>
      <c r="AK6" s="445"/>
    </row>
    <row r="7" spans="1:37" s="87" customFormat="1" ht="18" customHeight="1" x14ac:dyDescent="0.15">
      <c r="A7" s="442"/>
      <c r="B7" s="192" t="s">
        <v>267</v>
      </c>
      <c r="C7" s="192" t="str">
        <f t="shared" ref="C7:C12" si="0">"d"&amp;D7</f>
        <v>d400</v>
      </c>
      <c r="D7" s="205">
        <v>400</v>
      </c>
      <c r="E7" s="186">
        <f t="shared" ref="E7:E12" si="1">D7/10</f>
        <v>40</v>
      </c>
      <c r="F7" s="188">
        <f>D7+2*(E7+J7)</f>
        <v>1280</v>
      </c>
      <c r="G7" s="204">
        <v>0</v>
      </c>
      <c r="H7" s="204">
        <v>0</v>
      </c>
      <c r="I7" s="204">
        <v>0</v>
      </c>
      <c r="J7" s="188">
        <v>400</v>
      </c>
      <c r="K7" s="186">
        <v>0.67</v>
      </c>
      <c r="L7" s="199">
        <v>0</v>
      </c>
      <c r="M7" s="178">
        <v>0.15</v>
      </c>
      <c r="N7" s="189">
        <f>0.18*L7</f>
        <v>0</v>
      </c>
      <c r="O7" s="203">
        <v>0</v>
      </c>
      <c r="P7" s="189">
        <f t="shared" ref="P7:P12" si="2">0.5*(F7*0.001+(0.001*F7-2*O7*K7))*O7*L7</f>
        <v>0</v>
      </c>
      <c r="Q7" s="189">
        <v>0</v>
      </c>
      <c r="R7" s="178">
        <v>2.5</v>
      </c>
      <c r="S7" s="199">
        <v>0.69</v>
      </c>
      <c r="T7" s="199">
        <v>1.5</v>
      </c>
      <c r="U7" s="199">
        <v>0</v>
      </c>
      <c r="V7" s="189">
        <f>1.67*L7</f>
        <v>0</v>
      </c>
      <c r="W7" s="189">
        <v>0</v>
      </c>
      <c r="X7" s="207">
        <v>0</v>
      </c>
      <c r="Y7" s="178">
        <f>1.32*L7</f>
        <v>0</v>
      </c>
      <c r="Z7" s="199">
        <f t="shared" ref="Z7:Z12" si="3">V7-X7</f>
        <v>0</v>
      </c>
      <c r="AA7" s="186" t="s">
        <v>265</v>
      </c>
      <c r="AC7" s="87">
        <f t="shared" ref="AC7:AC12" si="4">F7*0.001+2*K7*(M7+O7)</f>
        <v>1.4810000000000001</v>
      </c>
      <c r="AD7" s="87">
        <f t="shared" ref="AD7:AD12" si="5">(D7+2*E7)/2*0.001</f>
        <v>0.24</v>
      </c>
      <c r="AE7" s="87">
        <f t="shared" ref="AE7:AE12" si="6">3.14*(0.001*(D7+2*E7)*0.5)^2</f>
        <v>0.180864</v>
      </c>
      <c r="AF7" s="87">
        <f t="shared" ref="AF7:AF12" si="7">(D7+2*E7)/2*0.001+0.5</f>
        <v>0.74</v>
      </c>
      <c r="AG7" s="87">
        <f t="shared" ref="AG7:AG12" si="8">AC7+2*K7*0.001*0.5*(D7+2*E7)</f>
        <v>1.8026</v>
      </c>
      <c r="AH7" s="87">
        <f t="shared" ref="AH7:AH12" si="9">IF(D7=400,N7,0)</f>
        <v>0</v>
      </c>
      <c r="AI7" s="87">
        <f t="shared" ref="AI7:AI12" si="10">IF(D7=400,P7,0)</f>
        <v>0</v>
      </c>
      <c r="AJ7" s="87">
        <f t="shared" ref="AJ7:AJ12" si="11">IF(D7=1000,N7,0)</f>
        <v>0</v>
      </c>
      <c r="AK7" s="87">
        <f t="shared" ref="AK7:AK12" si="12">IF(D7=1000,P7,0)</f>
        <v>0</v>
      </c>
    </row>
    <row r="8" spans="1:37" s="87" customFormat="1" ht="18" customHeight="1" x14ac:dyDescent="0.15">
      <c r="A8" s="443"/>
      <c r="B8" s="192" t="s">
        <v>266</v>
      </c>
      <c r="C8" s="192" t="str">
        <f t="shared" si="0"/>
        <v>d1000</v>
      </c>
      <c r="D8" s="205">
        <v>1000</v>
      </c>
      <c r="E8" s="186">
        <f t="shared" si="1"/>
        <v>100</v>
      </c>
      <c r="F8" s="188">
        <v>3000</v>
      </c>
      <c r="G8" s="204">
        <v>0</v>
      </c>
      <c r="H8" s="204">
        <v>0</v>
      </c>
      <c r="I8" s="204">
        <v>0</v>
      </c>
      <c r="J8" s="188">
        <f>IF(D8&lt;=500,400,IF(D8&lt;=1000,500,IF(D8&lt;=1500,600,IF(D8&lt;=3000,800))))</f>
        <v>500</v>
      </c>
      <c r="K8" s="186">
        <v>0.67</v>
      </c>
      <c r="L8" s="199">
        <v>0</v>
      </c>
      <c r="M8" s="178">
        <v>0.2</v>
      </c>
      <c r="N8" s="189">
        <f>0.47*L8</f>
        <v>0</v>
      </c>
      <c r="O8" s="203">
        <v>0</v>
      </c>
      <c r="P8" s="189">
        <f t="shared" si="2"/>
        <v>0</v>
      </c>
      <c r="Q8" s="189">
        <v>0</v>
      </c>
      <c r="R8" s="178">
        <v>3.2</v>
      </c>
      <c r="S8" s="199">
        <v>0.69</v>
      </c>
      <c r="T8" s="199">
        <f>IF(R8-S8-D8*0.001-E8*0.001&gt;=0.5,M8+O8+R8+E8*0.001-S8,M8+O8+E8*0.001*2+D8*0.001+0.5)</f>
        <v>2.8100000000000005</v>
      </c>
      <c r="U8" s="199">
        <v>0</v>
      </c>
      <c r="V8" s="189">
        <f>9.48*L8</f>
        <v>0</v>
      </c>
      <c r="W8" s="189">
        <v>0</v>
      </c>
      <c r="X8" s="207">
        <v>0</v>
      </c>
      <c r="Y8" s="199">
        <f>7.9*L8</f>
        <v>0</v>
      </c>
      <c r="Z8" s="199">
        <f t="shared" si="3"/>
        <v>0</v>
      </c>
      <c r="AA8" s="186" t="s">
        <v>265</v>
      </c>
      <c r="AC8" s="87">
        <f t="shared" si="4"/>
        <v>3.2679999999999998</v>
      </c>
      <c r="AD8" s="87">
        <f t="shared" si="5"/>
        <v>0.6</v>
      </c>
      <c r="AE8" s="87">
        <f t="shared" si="6"/>
        <v>1.1304000000000001</v>
      </c>
      <c r="AF8" s="87">
        <f t="shared" si="7"/>
        <v>1.1000000000000001</v>
      </c>
      <c r="AG8" s="87">
        <f t="shared" si="8"/>
        <v>4.0720000000000001</v>
      </c>
      <c r="AH8" s="87">
        <f t="shared" si="9"/>
        <v>0</v>
      </c>
      <c r="AI8" s="87">
        <f t="shared" si="10"/>
        <v>0</v>
      </c>
      <c r="AJ8" s="87">
        <f t="shared" si="11"/>
        <v>0</v>
      </c>
      <c r="AK8" s="87">
        <f t="shared" si="12"/>
        <v>0</v>
      </c>
    </row>
    <row r="9" spans="1:37" s="87" customFormat="1" ht="18" customHeight="1" x14ac:dyDescent="0.15">
      <c r="A9" s="442"/>
      <c r="B9" s="192" t="s">
        <v>267</v>
      </c>
      <c r="C9" s="192" t="str">
        <f t="shared" si="0"/>
        <v>d400</v>
      </c>
      <c r="D9" s="205">
        <v>400</v>
      </c>
      <c r="E9" s="186">
        <f t="shared" si="1"/>
        <v>40</v>
      </c>
      <c r="F9" s="188">
        <f>D9+2*(E9+J9)</f>
        <v>1280</v>
      </c>
      <c r="G9" s="204">
        <v>0</v>
      </c>
      <c r="H9" s="204">
        <v>0</v>
      </c>
      <c r="I9" s="204">
        <v>0</v>
      </c>
      <c r="J9" s="188">
        <f>IF(D9&lt;=500,400,IF(D9&lt;=1000,500,IF(D9&lt;=1500,600,IF(D9&lt;=3000,800))))</f>
        <v>400</v>
      </c>
      <c r="K9" s="186">
        <v>0.67</v>
      </c>
      <c r="L9" s="199">
        <v>0</v>
      </c>
      <c r="M9" s="178">
        <v>0.15</v>
      </c>
      <c r="N9" s="189">
        <f>0.18*L9</f>
        <v>0</v>
      </c>
      <c r="O9" s="203">
        <v>0</v>
      </c>
      <c r="P9" s="189">
        <f t="shared" si="2"/>
        <v>0</v>
      </c>
      <c r="Q9" s="189">
        <v>0</v>
      </c>
      <c r="R9" s="178">
        <v>1.8</v>
      </c>
      <c r="S9" s="199">
        <v>0.69</v>
      </c>
      <c r="T9" s="199">
        <v>2.5</v>
      </c>
      <c r="U9" s="199">
        <v>0</v>
      </c>
      <c r="V9" s="189">
        <f>4.8*L9</f>
        <v>0</v>
      </c>
      <c r="W9" s="189">
        <v>0</v>
      </c>
      <c r="X9" s="207">
        <f>3.14*L9*1.15</f>
        <v>0</v>
      </c>
      <c r="Y9" s="178">
        <f>1.32*L9</f>
        <v>0</v>
      </c>
      <c r="Z9" s="199">
        <f t="shared" si="3"/>
        <v>0</v>
      </c>
      <c r="AA9" s="186" t="s">
        <v>265</v>
      </c>
      <c r="AC9" s="87">
        <f t="shared" si="4"/>
        <v>1.4810000000000001</v>
      </c>
      <c r="AD9" s="87">
        <f t="shared" si="5"/>
        <v>0.24</v>
      </c>
      <c r="AE9" s="87">
        <f t="shared" si="6"/>
        <v>0.180864</v>
      </c>
      <c r="AF9" s="87">
        <f t="shared" si="7"/>
        <v>0.74</v>
      </c>
      <c r="AG9" s="87">
        <f t="shared" si="8"/>
        <v>1.8026</v>
      </c>
      <c r="AH9" s="87">
        <f t="shared" si="9"/>
        <v>0</v>
      </c>
      <c r="AI9" s="87">
        <f t="shared" si="10"/>
        <v>0</v>
      </c>
      <c r="AJ9" s="87">
        <f t="shared" si="11"/>
        <v>0</v>
      </c>
      <c r="AK9" s="87">
        <f t="shared" si="12"/>
        <v>0</v>
      </c>
    </row>
    <row r="10" spans="1:37" s="87" customFormat="1" ht="18" customHeight="1" x14ac:dyDescent="0.15">
      <c r="A10" s="443"/>
      <c r="B10" s="192" t="s">
        <v>266</v>
      </c>
      <c r="C10" s="192" t="str">
        <f t="shared" si="0"/>
        <v>d1000</v>
      </c>
      <c r="D10" s="205">
        <v>1000</v>
      </c>
      <c r="E10" s="186">
        <f t="shared" si="1"/>
        <v>100</v>
      </c>
      <c r="F10" s="188">
        <v>3000</v>
      </c>
      <c r="G10" s="204">
        <v>0</v>
      </c>
      <c r="H10" s="204">
        <v>0</v>
      </c>
      <c r="I10" s="204">
        <v>0</v>
      </c>
      <c r="J10" s="188">
        <f>IF(D10&lt;=500,400,IF(D10&lt;=1000,500,IF(D10&lt;=1500,600,IF(D10&lt;=3000,800))))</f>
        <v>500</v>
      </c>
      <c r="K10" s="186">
        <v>0.67</v>
      </c>
      <c r="L10" s="199">
        <v>0</v>
      </c>
      <c r="M10" s="178">
        <v>0.2</v>
      </c>
      <c r="N10" s="189">
        <f>0.47*L10</f>
        <v>0</v>
      </c>
      <c r="O10" s="203">
        <v>0</v>
      </c>
      <c r="P10" s="189">
        <f t="shared" si="2"/>
        <v>0</v>
      </c>
      <c r="Q10" s="189">
        <v>0</v>
      </c>
      <c r="R10" s="178">
        <v>2.9</v>
      </c>
      <c r="S10" s="199">
        <v>0.69</v>
      </c>
      <c r="T10" s="199">
        <v>3.4</v>
      </c>
      <c r="U10" s="199">
        <v>0</v>
      </c>
      <c r="V10" s="189">
        <f>16.7*L10</f>
        <v>0</v>
      </c>
      <c r="W10" s="189">
        <v>0</v>
      </c>
      <c r="X10" s="207">
        <f>7.21*1.15*L10</f>
        <v>0</v>
      </c>
      <c r="Y10" s="199">
        <f>7.9*L10</f>
        <v>0</v>
      </c>
      <c r="Z10" s="199">
        <f t="shared" si="3"/>
        <v>0</v>
      </c>
      <c r="AA10" s="186" t="s">
        <v>265</v>
      </c>
      <c r="AC10" s="87">
        <f t="shared" si="4"/>
        <v>3.2679999999999998</v>
      </c>
      <c r="AD10" s="87">
        <f t="shared" si="5"/>
        <v>0.6</v>
      </c>
      <c r="AE10" s="87">
        <f t="shared" si="6"/>
        <v>1.1304000000000001</v>
      </c>
      <c r="AF10" s="87">
        <f t="shared" si="7"/>
        <v>1.1000000000000001</v>
      </c>
      <c r="AG10" s="87">
        <f t="shared" si="8"/>
        <v>4.0720000000000001</v>
      </c>
      <c r="AH10" s="87">
        <f t="shared" si="9"/>
        <v>0</v>
      </c>
      <c r="AI10" s="87">
        <f t="shared" si="10"/>
        <v>0</v>
      </c>
      <c r="AJ10" s="87">
        <f t="shared" si="11"/>
        <v>0</v>
      </c>
      <c r="AK10" s="87">
        <f t="shared" si="12"/>
        <v>0</v>
      </c>
    </row>
    <row r="11" spans="1:37" s="87" customFormat="1" ht="18" customHeight="1" x14ac:dyDescent="0.15">
      <c r="A11" s="442"/>
      <c r="B11" s="192" t="s">
        <v>267</v>
      </c>
      <c r="C11" s="192" t="str">
        <f t="shared" si="0"/>
        <v>d400</v>
      </c>
      <c r="D11" s="205">
        <v>400</v>
      </c>
      <c r="E11" s="186">
        <f t="shared" si="1"/>
        <v>40</v>
      </c>
      <c r="F11" s="188">
        <f>D11+2*(E11+J11)</f>
        <v>1280</v>
      </c>
      <c r="G11" s="204">
        <v>0</v>
      </c>
      <c r="H11" s="204">
        <v>0</v>
      </c>
      <c r="I11" s="204">
        <v>0</v>
      </c>
      <c r="J11" s="188">
        <f>IF(D11&lt;=500,400,IF(D11&lt;=1000,500,IF(D11&lt;=1500,600,IF(D11&lt;=3000,800))))</f>
        <v>400</v>
      </c>
      <c r="K11" s="186">
        <v>0.67</v>
      </c>
      <c r="L11" s="199">
        <v>0</v>
      </c>
      <c r="M11" s="178">
        <v>0.15</v>
      </c>
      <c r="N11" s="189">
        <f>0.19*L11</f>
        <v>0</v>
      </c>
      <c r="O11" s="203">
        <v>0</v>
      </c>
      <c r="P11" s="189">
        <f t="shared" si="2"/>
        <v>0</v>
      </c>
      <c r="Q11" s="189">
        <v>0</v>
      </c>
      <c r="R11" s="178">
        <v>3.4</v>
      </c>
      <c r="S11" s="199">
        <v>0.69</v>
      </c>
      <c r="T11" s="199">
        <v>2.5</v>
      </c>
      <c r="U11" s="199">
        <v>0</v>
      </c>
      <c r="V11" s="189">
        <f>5.35*L11</f>
        <v>0</v>
      </c>
      <c r="W11" s="189">
        <v>0</v>
      </c>
      <c r="X11" s="207">
        <f>3.6*L11*1.15</f>
        <v>0</v>
      </c>
      <c r="Y11" s="178">
        <f>8*L11</f>
        <v>0</v>
      </c>
      <c r="Z11" s="199">
        <f t="shared" si="3"/>
        <v>0</v>
      </c>
      <c r="AA11" s="186" t="s">
        <v>265</v>
      </c>
      <c r="AC11" s="87">
        <f t="shared" si="4"/>
        <v>1.4810000000000001</v>
      </c>
      <c r="AD11" s="87">
        <f t="shared" si="5"/>
        <v>0.24</v>
      </c>
      <c r="AE11" s="87">
        <f t="shared" si="6"/>
        <v>0.180864</v>
      </c>
      <c r="AF11" s="87">
        <f t="shared" si="7"/>
        <v>0.74</v>
      </c>
      <c r="AG11" s="87">
        <f t="shared" si="8"/>
        <v>1.8026</v>
      </c>
      <c r="AH11" s="87">
        <f t="shared" si="9"/>
        <v>0</v>
      </c>
      <c r="AI11" s="87">
        <f t="shared" si="10"/>
        <v>0</v>
      </c>
      <c r="AJ11" s="87">
        <f t="shared" si="11"/>
        <v>0</v>
      </c>
      <c r="AK11" s="87">
        <f t="shared" si="12"/>
        <v>0</v>
      </c>
    </row>
    <row r="12" spans="1:37" s="87" customFormat="1" ht="18" customHeight="1" x14ac:dyDescent="0.15">
      <c r="A12" s="443"/>
      <c r="B12" s="192" t="s">
        <v>266</v>
      </c>
      <c r="C12" s="192" t="str">
        <f t="shared" si="0"/>
        <v>d800</v>
      </c>
      <c r="D12" s="205">
        <v>800</v>
      </c>
      <c r="E12" s="186">
        <f t="shared" si="1"/>
        <v>80</v>
      </c>
      <c r="F12" s="188">
        <v>3000</v>
      </c>
      <c r="G12" s="204">
        <v>0</v>
      </c>
      <c r="H12" s="204">
        <v>0</v>
      </c>
      <c r="I12" s="204">
        <v>0</v>
      </c>
      <c r="J12" s="188">
        <f>IF(D12&lt;=500,400,IF(D12&lt;=1000,500,IF(D12&lt;=1500,600,IF(D12&lt;=3000,800))))</f>
        <v>500</v>
      </c>
      <c r="K12" s="186">
        <v>0.67</v>
      </c>
      <c r="L12" s="199">
        <v>0</v>
      </c>
      <c r="M12" s="178">
        <v>0.15</v>
      </c>
      <c r="N12" s="189">
        <f>0.31*L12</f>
        <v>0</v>
      </c>
      <c r="O12" s="203">
        <v>0</v>
      </c>
      <c r="P12" s="189">
        <f t="shared" si="2"/>
        <v>0</v>
      </c>
      <c r="Q12" s="189">
        <v>0</v>
      </c>
      <c r="R12" s="178">
        <v>4.5</v>
      </c>
      <c r="S12" s="199">
        <v>0.69</v>
      </c>
      <c r="T12" s="199">
        <v>3.7</v>
      </c>
      <c r="U12" s="199">
        <v>0</v>
      </c>
      <c r="V12" s="189">
        <f>16.6*L12</f>
        <v>0</v>
      </c>
      <c r="W12" s="189">
        <v>0</v>
      </c>
      <c r="X12" s="207">
        <f>7.5*1.15*L12</f>
        <v>0</v>
      </c>
      <c r="Y12" s="199">
        <f>7.93*L12</f>
        <v>0</v>
      </c>
      <c r="Z12" s="199">
        <f t="shared" si="3"/>
        <v>0</v>
      </c>
      <c r="AA12" s="186" t="s">
        <v>265</v>
      </c>
      <c r="AC12" s="87">
        <f t="shared" si="4"/>
        <v>3.2010000000000001</v>
      </c>
      <c r="AD12" s="87">
        <f t="shared" si="5"/>
        <v>0.48</v>
      </c>
      <c r="AE12" s="87">
        <f t="shared" si="6"/>
        <v>0.72345599999999999</v>
      </c>
      <c r="AF12" s="87">
        <f t="shared" si="7"/>
        <v>0.98</v>
      </c>
      <c r="AG12" s="87">
        <f t="shared" si="8"/>
        <v>3.8441999999999998</v>
      </c>
      <c r="AH12" s="87">
        <f t="shared" si="9"/>
        <v>0</v>
      </c>
      <c r="AI12" s="87">
        <f t="shared" si="10"/>
        <v>0</v>
      </c>
      <c r="AJ12" s="87">
        <f t="shared" si="11"/>
        <v>0</v>
      </c>
      <c r="AK12" s="87">
        <f t="shared" si="12"/>
        <v>0</v>
      </c>
    </row>
    <row r="13" spans="1:37" s="87" customFormat="1" ht="18" customHeight="1" x14ac:dyDescent="0.15">
      <c r="A13" s="206"/>
      <c r="B13" s="192"/>
      <c r="C13" s="192"/>
      <c r="D13" s="205"/>
      <c r="E13" s="186"/>
      <c r="F13" s="188"/>
      <c r="G13" s="204"/>
      <c r="H13" s="204"/>
      <c r="I13" s="204"/>
      <c r="J13" s="188"/>
      <c r="K13" s="186"/>
      <c r="L13" s="199"/>
      <c r="M13" s="178"/>
      <c r="N13" s="189"/>
      <c r="O13" s="203"/>
      <c r="P13" s="189"/>
      <c r="Q13" s="189"/>
      <c r="R13" s="178"/>
      <c r="S13" s="199"/>
      <c r="T13" s="199"/>
      <c r="U13" s="199"/>
      <c r="V13" s="189"/>
      <c r="W13" s="189"/>
      <c r="X13" s="207"/>
      <c r="Y13" s="199"/>
      <c r="Z13" s="199"/>
      <c r="AA13" s="186"/>
    </row>
    <row r="14" spans="1:37" s="87" customFormat="1" ht="18" customHeight="1" x14ac:dyDescent="0.15">
      <c r="A14" s="206"/>
      <c r="B14" s="192" t="s">
        <v>240</v>
      </c>
      <c r="C14" s="192"/>
      <c r="D14" s="205"/>
      <c r="E14" s="186"/>
      <c r="F14" s="188"/>
      <c r="G14" s="204"/>
      <c r="H14" s="204"/>
      <c r="I14" s="204"/>
      <c r="J14" s="188"/>
      <c r="K14" s="186"/>
      <c r="L14" s="199">
        <f>SUM(L7:L12)</f>
        <v>0</v>
      </c>
      <c r="M14" s="178"/>
      <c r="N14" s="199">
        <f>SUM(N7:N12)</f>
        <v>0</v>
      </c>
      <c r="O14" s="203"/>
      <c r="P14" s="189"/>
      <c r="Q14" s="189"/>
      <c r="R14" s="178"/>
      <c r="S14" s="199"/>
      <c r="T14" s="199"/>
      <c r="U14" s="199"/>
      <c r="V14" s="199">
        <f>SUM(V7:V12)</f>
        <v>0</v>
      </c>
      <c r="W14" s="199">
        <f>SUM(W7:W12)</f>
        <v>0</v>
      </c>
      <c r="X14" s="199">
        <f>SUM(X7:X12)</f>
        <v>0</v>
      </c>
      <c r="Y14" s="199">
        <f>SUM(Y7:Y12)</f>
        <v>0</v>
      </c>
      <c r="Z14" s="199">
        <f>SUM(Z7:Z12)</f>
        <v>0</v>
      </c>
      <c r="AA14" s="186"/>
    </row>
    <row r="15" spans="1:37" s="87" customFormat="1" ht="18" customHeight="1" x14ac:dyDescent="0.15">
      <c r="A15" s="192"/>
      <c r="B15" s="192"/>
      <c r="C15" s="192"/>
      <c r="D15" s="202"/>
      <c r="E15" s="192"/>
      <c r="F15" s="192"/>
      <c r="G15" s="192"/>
      <c r="H15" s="192"/>
      <c r="I15" s="192"/>
      <c r="J15" s="192"/>
      <c r="K15" s="192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86"/>
      <c r="AC15" s="137"/>
      <c r="AF15" s="137"/>
      <c r="AH15" s="201"/>
      <c r="AI15" s="201"/>
      <c r="AJ15" s="201"/>
      <c r="AK15" s="201"/>
    </row>
    <row r="16" spans="1:37" ht="19.5" customHeight="1" x14ac:dyDescent="0.15">
      <c r="A16" s="177"/>
      <c r="B16" s="452" t="s">
        <v>264</v>
      </c>
      <c r="C16" s="452"/>
      <c r="D16" s="191"/>
      <c r="E16" s="190"/>
      <c r="F16" s="193"/>
      <c r="G16" s="190"/>
      <c r="H16" s="190"/>
      <c r="I16" s="190"/>
      <c r="J16" s="190"/>
      <c r="K16" s="190"/>
      <c r="L16" s="189"/>
      <c r="M16" s="187"/>
      <c r="N16" s="189"/>
      <c r="O16" s="187"/>
      <c r="P16" s="198"/>
      <c r="Q16" s="187"/>
      <c r="R16" s="187"/>
      <c r="S16" s="195"/>
      <c r="T16" s="190"/>
      <c r="U16" s="193"/>
      <c r="V16" s="190"/>
      <c r="W16" s="190"/>
      <c r="X16" s="178"/>
      <c r="Y16" s="178"/>
      <c r="Z16" s="178"/>
      <c r="AA16" s="177"/>
    </row>
    <row r="17" spans="1:27" ht="19.5" customHeight="1" x14ac:dyDescent="0.15">
      <c r="A17" s="177"/>
      <c r="B17" s="453" t="s">
        <v>263</v>
      </c>
      <c r="C17" s="451"/>
      <c r="D17" s="191"/>
      <c r="E17" s="190"/>
      <c r="F17" s="190"/>
      <c r="G17" s="190"/>
      <c r="H17" s="190"/>
      <c r="I17" s="193"/>
      <c r="J17" s="190"/>
      <c r="K17" s="190"/>
      <c r="L17" s="189" t="s">
        <v>251</v>
      </c>
      <c r="M17" s="187"/>
      <c r="N17" s="189">
        <f>V14</f>
        <v>0</v>
      </c>
      <c r="O17" s="186"/>
      <c r="P17" s="198"/>
      <c r="Q17" s="187"/>
      <c r="R17" s="187"/>
      <c r="S17" s="180"/>
      <c r="T17" s="193"/>
      <c r="U17" s="190"/>
      <c r="V17" s="193"/>
      <c r="W17" s="190"/>
      <c r="X17" s="178"/>
      <c r="Y17" s="178"/>
      <c r="Z17" s="178"/>
      <c r="AA17" s="177"/>
    </row>
    <row r="18" spans="1:27" ht="19.5" hidden="1" customHeight="1" x14ac:dyDescent="0.15">
      <c r="A18" s="177"/>
      <c r="B18" s="451" t="s">
        <v>258</v>
      </c>
      <c r="C18" s="451"/>
      <c r="D18" s="191"/>
      <c r="E18" s="190"/>
      <c r="F18" s="190"/>
      <c r="G18" s="190"/>
      <c r="H18" s="190"/>
      <c r="I18" s="190"/>
      <c r="J18" s="190"/>
      <c r="K18" s="190"/>
      <c r="L18" s="189" t="s">
        <v>251</v>
      </c>
      <c r="M18" s="187"/>
      <c r="N18" s="189"/>
      <c r="O18" s="186"/>
      <c r="P18" s="187"/>
      <c r="Q18" s="187"/>
      <c r="R18" s="187"/>
      <c r="S18" s="195"/>
      <c r="T18" s="190"/>
      <c r="U18" s="193"/>
      <c r="V18" s="190"/>
      <c r="W18" s="190"/>
      <c r="X18" s="178"/>
      <c r="Y18" s="178"/>
      <c r="Z18" s="178"/>
      <c r="AA18" s="177"/>
    </row>
    <row r="19" spans="1:27" ht="20.100000000000001" hidden="1" customHeight="1" x14ac:dyDescent="0.15">
      <c r="A19" s="177"/>
      <c r="B19" s="451" t="s">
        <v>261</v>
      </c>
      <c r="C19" s="451"/>
      <c r="D19" s="191"/>
      <c r="E19" s="190"/>
      <c r="F19" s="190"/>
      <c r="G19" s="190"/>
      <c r="H19" s="190"/>
      <c r="I19" s="190"/>
      <c r="J19" s="190"/>
      <c r="K19" s="190"/>
      <c r="L19" s="189" t="s">
        <v>251</v>
      </c>
      <c r="M19" s="186"/>
      <c r="N19" s="189"/>
      <c r="O19" s="186"/>
      <c r="P19" s="188"/>
      <c r="Q19" s="188"/>
      <c r="R19" s="186"/>
      <c r="S19" s="180"/>
      <c r="T19" s="193"/>
      <c r="U19" s="177"/>
      <c r="V19" s="194"/>
      <c r="W19" s="193"/>
      <c r="X19" s="178"/>
      <c r="Y19" s="178"/>
      <c r="Z19" s="178"/>
      <c r="AA19" s="177"/>
    </row>
    <row r="20" spans="1:27" ht="20.100000000000001" hidden="1" customHeight="1" x14ac:dyDescent="0.15">
      <c r="A20" s="177"/>
      <c r="B20" s="451" t="s">
        <v>256</v>
      </c>
      <c r="C20" s="451"/>
      <c r="D20" s="191"/>
      <c r="E20" s="190"/>
      <c r="F20" s="190"/>
      <c r="G20" s="190"/>
      <c r="H20" s="190"/>
      <c r="I20" s="190"/>
      <c r="J20" s="190"/>
      <c r="K20" s="190"/>
      <c r="L20" s="189" t="s">
        <v>251</v>
      </c>
      <c r="M20" s="186"/>
      <c r="N20" s="189"/>
      <c r="O20" s="186"/>
      <c r="P20" s="188"/>
      <c r="Q20" s="188"/>
      <c r="R20" s="186"/>
      <c r="S20" s="195"/>
      <c r="T20" s="190"/>
      <c r="U20" s="193"/>
      <c r="V20" s="194"/>
      <c r="W20" s="190"/>
      <c r="X20" s="178"/>
      <c r="Y20" s="178"/>
      <c r="Z20" s="178"/>
      <c r="AA20" s="177"/>
    </row>
    <row r="21" spans="1:27" ht="20.100000000000001" customHeight="1" x14ac:dyDescent="0.15">
      <c r="A21" s="177"/>
      <c r="B21" s="451" t="s">
        <v>255</v>
      </c>
      <c r="C21" s="451"/>
      <c r="D21" s="191"/>
      <c r="E21" s="190"/>
      <c r="F21" s="190"/>
      <c r="G21" s="190"/>
      <c r="H21" s="190"/>
      <c r="I21" s="190"/>
      <c r="J21" s="190"/>
      <c r="K21" s="190"/>
      <c r="L21" s="189" t="s">
        <v>251</v>
      </c>
      <c r="M21" s="186"/>
      <c r="N21" s="189"/>
      <c r="O21" s="186"/>
      <c r="P21" s="188"/>
      <c r="Q21" s="188"/>
      <c r="R21" s="186"/>
      <c r="S21" s="180"/>
      <c r="T21" s="193"/>
      <c r="U21" s="200"/>
      <c r="V21" s="194"/>
      <c r="W21" s="193"/>
      <c r="X21" s="178"/>
      <c r="Y21" s="178"/>
      <c r="Z21" s="178"/>
      <c r="AA21" s="177"/>
    </row>
    <row r="22" spans="1:27" ht="20.100000000000001" customHeight="1" x14ac:dyDescent="0.15">
      <c r="A22" s="177"/>
      <c r="B22" s="177" t="s">
        <v>262</v>
      </c>
      <c r="C22" s="190"/>
      <c r="D22" s="191"/>
      <c r="E22" s="190"/>
      <c r="F22" s="190"/>
      <c r="G22" s="190"/>
      <c r="H22" s="190"/>
      <c r="I22" s="190"/>
      <c r="J22" s="190"/>
      <c r="K22" s="190"/>
      <c r="L22" s="189" t="s">
        <v>251</v>
      </c>
      <c r="M22" s="187"/>
      <c r="N22" s="199"/>
      <c r="O22" s="187"/>
      <c r="P22" s="187"/>
      <c r="Q22" s="198"/>
      <c r="R22" s="187"/>
      <c r="S22" s="195"/>
      <c r="T22" s="190"/>
      <c r="U22" s="193"/>
      <c r="V22" s="193"/>
      <c r="W22" s="190"/>
      <c r="X22" s="178"/>
      <c r="Y22" s="178"/>
      <c r="Z22" s="178"/>
      <c r="AA22" s="177"/>
    </row>
    <row r="23" spans="1:27" ht="20.100000000000001" hidden="1" customHeight="1" x14ac:dyDescent="0.15">
      <c r="A23" s="177"/>
      <c r="B23" s="451" t="s">
        <v>261</v>
      </c>
      <c r="C23" s="451"/>
      <c r="D23" s="191"/>
      <c r="E23" s="190"/>
      <c r="F23" s="190"/>
      <c r="G23" s="190"/>
      <c r="H23" s="190"/>
      <c r="I23" s="190"/>
      <c r="J23" s="190"/>
      <c r="K23" s="190"/>
      <c r="L23" s="189" t="s">
        <v>251</v>
      </c>
      <c r="M23" s="187"/>
      <c r="N23" s="189"/>
      <c r="O23" s="187"/>
      <c r="P23" s="197"/>
      <c r="Q23" s="197"/>
      <c r="R23" s="186"/>
      <c r="S23" s="180"/>
      <c r="T23" s="193"/>
      <c r="U23" s="177"/>
      <c r="V23" s="194"/>
      <c r="W23" s="193"/>
      <c r="X23" s="178"/>
      <c r="Y23" s="178"/>
      <c r="Z23" s="178"/>
      <c r="AA23" s="177"/>
    </row>
    <row r="24" spans="1:27" ht="20.100000000000001" customHeight="1" x14ac:dyDescent="0.15">
      <c r="A24" s="177"/>
      <c r="B24" s="451" t="s">
        <v>255</v>
      </c>
      <c r="C24" s="451"/>
      <c r="D24" s="191"/>
      <c r="E24" s="190"/>
      <c r="F24" s="190"/>
      <c r="G24" s="190"/>
      <c r="H24" s="190"/>
      <c r="I24" s="190"/>
      <c r="J24" s="190"/>
      <c r="K24" s="190"/>
      <c r="L24" s="189" t="s">
        <v>251</v>
      </c>
      <c r="M24" s="186"/>
      <c r="N24" s="189"/>
      <c r="O24" s="188"/>
      <c r="P24" s="196"/>
      <c r="Q24" s="196"/>
      <c r="R24" s="186"/>
      <c r="S24" s="195"/>
      <c r="T24" s="190"/>
      <c r="U24" s="193"/>
      <c r="V24" s="188"/>
      <c r="W24" s="190"/>
      <c r="X24" s="178"/>
      <c r="Y24" s="178"/>
      <c r="Z24" s="178"/>
      <c r="AA24" s="177"/>
    </row>
    <row r="25" spans="1:27" ht="20.100000000000001" customHeight="1" x14ac:dyDescent="0.15">
      <c r="A25" s="177"/>
      <c r="B25" s="452" t="s">
        <v>260</v>
      </c>
      <c r="C25" s="452"/>
      <c r="D25" s="191"/>
      <c r="E25" s="190"/>
      <c r="F25" s="190"/>
      <c r="G25" s="190"/>
      <c r="H25" s="190"/>
      <c r="I25" s="190"/>
      <c r="J25" s="190"/>
      <c r="K25" s="190"/>
      <c r="L25" s="189" t="s">
        <v>251</v>
      </c>
      <c r="M25" s="187"/>
      <c r="N25" s="189"/>
      <c r="O25" s="188"/>
      <c r="P25" s="188"/>
      <c r="Q25" s="188"/>
      <c r="R25" s="187"/>
      <c r="S25" s="180"/>
      <c r="T25" s="193"/>
      <c r="U25" s="177"/>
      <c r="V25" s="194"/>
      <c r="W25" s="193"/>
      <c r="X25" s="178"/>
      <c r="Y25" s="178"/>
      <c r="Z25" s="178"/>
      <c r="AA25" s="177"/>
    </row>
    <row r="26" spans="1:27" ht="20.100000000000001" customHeight="1" x14ac:dyDescent="0.15">
      <c r="A26" s="177"/>
      <c r="B26" s="452" t="s">
        <v>259</v>
      </c>
      <c r="C26" s="452"/>
      <c r="D26" s="191"/>
      <c r="E26" s="190"/>
      <c r="F26" s="190"/>
      <c r="G26" s="190"/>
      <c r="H26" s="190"/>
      <c r="I26" s="190"/>
      <c r="J26" s="190"/>
      <c r="K26" s="190"/>
      <c r="L26" s="189"/>
      <c r="M26" s="187"/>
      <c r="N26" s="189">
        <f>N16-N22</f>
        <v>0</v>
      </c>
      <c r="O26" s="188"/>
      <c r="P26" s="188"/>
      <c r="Q26" s="188"/>
      <c r="R26" s="187"/>
      <c r="S26" s="195"/>
      <c r="T26" s="190"/>
      <c r="U26" s="193"/>
      <c r="V26" s="190"/>
      <c r="W26" s="190"/>
      <c r="X26" s="178"/>
      <c r="Y26" s="178"/>
      <c r="Z26" s="178"/>
      <c r="AA26" s="177"/>
    </row>
    <row r="27" spans="1:27" ht="20.100000000000001" customHeight="1" x14ac:dyDescent="0.15">
      <c r="A27" s="177"/>
      <c r="B27" s="453" t="str">
        <f>W4</f>
        <v>石方</v>
      </c>
      <c r="C27" s="451"/>
      <c r="D27" s="191"/>
      <c r="E27" s="190"/>
      <c r="F27" s="190"/>
      <c r="G27" s="190"/>
      <c r="H27" s="190"/>
      <c r="I27" s="190"/>
      <c r="J27" s="190"/>
      <c r="K27" s="190"/>
      <c r="L27" s="189" t="s">
        <v>251</v>
      </c>
      <c r="M27" s="187"/>
      <c r="N27" s="189"/>
      <c r="O27" s="188"/>
      <c r="P27" s="188"/>
      <c r="Q27" s="188"/>
      <c r="R27" s="187"/>
      <c r="S27" s="180"/>
      <c r="T27" s="193"/>
      <c r="U27" s="193"/>
      <c r="V27" s="194"/>
      <c r="W27" s="193"/>
      <c r="X27" s="178"/>
      <c r="Y27" s="178"/>
      <c r="Z27" s="178"/>
      <c r="AA27" s="177"/>
    </row>
    <row r="28" spans="1:27" ht="20.100000000000001" hidden="1" customHeight="1" x14ac:dyDescent="0.15">
      <c r="A28" s="177"/>
      <c r="B28" s="451" t="s">
        <v>258</v>
      </c>
      <c r="C28" s="451"/>
      <c r="D28" s="191"/>
      <c r="E28" s="190"/>
      <c r="F28" s="190"/>
      <c r="G28" s="190"/>
      <c r="H28" s="190"/>
      <c r="I28" s="190"/>
      <c r="J28" s="190"/>
      <c r="K28" s="190"/>
      <c r="L28" s="189" t="s">
        <v>251</v>
      </c>
      <c r="M28" s="187"/>
      <c r="N28" s="189"/>
      <c r="O28" s="188"/>
      <c r="P28" s="188"/>
      <c r="Q28" s="188"/>
      <c r="R28" s="187"/>
      <c r="S28" s="180"/>
      <c r="T28" s="180"/>
      <c r="U28" s="190"/>
      <c r="V28" s="190"/>
      <c r="W28" s="193"/>
      <c r="X28" s="178"/>
      <c r="Y28" s="178"/>
      <c r="Z28" s="178"/>
      <c r="AA28" s="177"/>
    </row>
    <row r="29" spans="1:27" ht="20.100000000000001" hidden="1" customHeight="1" x14ac:dyDescent="0.15">
      <c r="A29" s="177"/>
      <c r="B29" s="451" t="s">
        <v>257</v>
      </c>
      <c r="C29" s="451"/>
      <c r="D29" s="191"/>
      <c r="E29" s="190"/>
      <c r="F29" s="190"/>
      <c r="G29" s="190"/>
      <c r="H29" s="190"/>
      <c r="I29" s="190"/>
      <c r="J29" s="190"/>
      <c r="K29" s="190"/>
      <c r="L29" s="189" t="s">
        <v>251</v>
      </c>
      <c r="M29" s="187"/>
      <c r="N29" s="189"/>
      <c r="O29" s="188"/>
      <c r="P29" s="188"/>
      <c r="Q29" s="188"/>
      <c r="R29" s="187"/>
      <c r="S29" s="180"/>
      <c r="T29" s="190"/>
      <c r="U29" s="190"/>
      <c r="V29" s="190"/>
      <c r="W29" s="190"/>
      <c r="X29" s="178"/>
      <c r="Y29" s="178"/>
      <c r="Z29" s="178"/>
      <c r="AA29" s="177"/>
    </row>
    <row r="30" spans="1:27" ht="20.100000000000001" hidden="1" customHeight="1" x14ac:dyDescent="0.15">
      <c r="A30" s="177"/>
      <c r="B30" s="451" t="s">
        <v>256</v>
      </c>
      <c r="C30" s="451"/>
      <c r="D30" s="191"/>
      <c r="E30" s="190"/>
      <c r="F30" s="190"/>
      <c r="G30" s="190"/>
      <c r="H30" s="190"/>
      <c r="I30" s="190"/>
      <c r="J30" s="190"/>
      <c r="K30" s="190"/>
      <c r="L30" s="189" t="s">
        <v>251</v>
      </c>
      <c r="M30" s="187"/>
      <c r="N30" s="189"/>
      <c r="O30" s="188"/>
      <c r="P30" s="188"/>
      <c r="Q30" s="188"/>
      <c r="R30" s="187"/>
      <c r="S30" s="180"/>
      <c r="T30" s="190"/>
      <c r="U30" s="190"/>
      <c r="V30" s="190"/>
      <c r="W30" s="190"/>
      <c r="X30" s="178"/>
      <c r="Y30" s="178"/>
      <c r="Z30" s="178"/>
      <c r="AA30" s="177"/>
    </row>
    <row r="31" spans="1:27" ht="20.100000000000001" hidden="1" customHeight="1" x14ac:dyDescent="0.15">
      <c r="A31" s="177"/>
      <c r="B31" s="451" t="s">
        <v>255</v>
      </c>
      <c r="C31" s="451"/>
      <c r="D31" s="191"/>
      <c r="E31" s="190"/>
      <c r="F31" s="190"/>
      <c r="G31" s="190"/>
      <c r="H31" s="190"/>
      <c r="I31" s="190"/>
      <c r="J31" s="190"/>
      <c r="K31" s="190"/>
      <c r="L31" s="189"/>
      <c r="M31" s="187"/>
      <c r="N31" s="189"/>
      <c r="O31" s="188"/>
      <c r="P31" s="188"/>
      <c r="Q31" s="188"/>
      <c r="R31" s="187"/>
      <c r="S31" s="180"/>
      <c r="T31" s="190"/>
      <c r="U31" s="190"/>
      <c r="V31" s="190"/>
      <c r="W31" s="190"/>
      <c r="X31" s="178"/>
      <c r="Y31" s="178"/>
      <c r="Z31" s="178"/>
      <c r="AA31" s="177"/>
    </row>
    <row r="32" spans="1:27" ht="20.100000000000001" customHeight="1" x14ac:dyDescent="0.15">
      <c r="A32" s="177"/>
      <c r="B32" s="452" t="s">
        <v>254</v>
      </c>
      <c r="C32" s="452"/>
      <c r="D32" s="191"/>
      <c r="E32" s="190"/>
      <c r="F32" s="190"/>
      <c r="G32" s="190"/>
      <c r="H32" s="190"/>
      <c r="I32" s="190"/>
      <c r="J32" s="190"/>
      <c r="K32" s="190"/>
      <c r="L32" s="189" t="s">
        <v>251</v>
      </c>
      <c r="M32" s="187"/>
      <c r="N32" s="189">
        <f>N14</f>
        <v>0</v>
      </c>
      <c r="O32" s="188"/>
      <c r="P32" s="188"/>
      <c r="Q32" s="188"/>
      <c r="R32" s="187"/>
      <c r="S32" s="180"/>
      <c r="T32" s="190"/>
      <c r="U32" s="190"/>
      <c r="V32" s="190"/>
      <c r="W32" s="190"/>
      <c r="X32" s="178"/>
      <c r="Y32" s="178"/>
      <c r="Z32" s="178"/>
      <c r="AA32" s="177"/>
    </row>
    <row r="33" spans="1:27" ht="20.100000000000001" hidden="1" customHeight="1" x14ac:dyDescent="0.15">
      <c r="A33" s="177"/>
      <c r="B33" s="452" t="s">
        <v>253</v>
      </c>
      <c r="C33" s="452"/>
      <c r="D33" s="191"/>
      <c r="E33" s="190"/>
      <c r="F33" s="190"/>
      <c r="G33" s="190"/>
      <c r="H33" s="190"/>
      <c r="I33" s="190"/>
      <c r="J33" s="190"/>
      <c r="K33" s="190"/>
      <c r="L33" s="189" t="s">
        <v>251</v>
      </c>
      <c r="M33" s="187"/>
      <c r="N33" s="189">
        <v>0</v>
      </c>
      <c r="O33" s="188"/>
      <c r="P33" s="188"/>
      <c r="Q33" s="188"/>
      <c r="R33" s="187"/>
      <c r="S33" s="180"/>
      <c r="T33" s="190"/>
      <c r="U33" s="190"/>
      <c r="V33" s="190"/>
      <c r="W33" s="190"/>
      <c r="X33" s="178"/>
      <c r="Y33" s="178"/>
      <c r="Z33" s="178"/>
      <c r="AA33" s="177"/>
    </row>
    <row r="34" spans="1:27" ht="20.100000000000001" customHeight="1" x14ac:dyDescent="0.15">
      <c r="A34" s="177"/>
      <c r="B34" s="452" t="s">
        <v>252</v>
      </c>
      <c r="C34" s="452"/>
      <c r="D34" s="191"/>
      <c r="E34" s="190"/>
      <c r="F34" s="190"/>
      <c r="G34" s="190"/>
      <c r="H34" s="190"/>
      <c r="I34" s="190"/>
      <c r="J34" s="190"/>
      <c r="K34" s="190"/>
      <c r="L34" s="189" t="s">
        <v>251</v>
      </c>
      <c r="M34" s="187"/>
      <c r="N34" s="189">
        <f>Y14</f>
        <v>0</v>
      </c>
      <c r="O34" s="188"/>
      <c r="P34" s="188"/>
      <c r="Q34" s="188"/>
      <c r="R34" s="187"/>
      <c r="S34" s="180"/>
      <c r="T34" s="186"/>
      <c r="U34" s="186"/>
      <c r="V34" s="186"/>
      <c r="W34" s="186"/>
      <c r="X34" s="178"/>
      <c r="Y34" s="178"/>
      <c r="Z34" s="178"/>
      <c r="AA34" s="177"/>
    </row>
    <row r="35" spans="1:27" ht="20.100000000000001" hidden="1" customHeight="1" x14ac:dyDescent="0.15">
      <c r="A35" s="177"/>
      <c r="B35" s="454" t="s">
        <v>250</v>
      </c>
      <c r="C35" s="454"/>
      <c r="D35" s="185"/>
      <c r="E35" s="184"/>
      <c r="F35" s="184"/>
      <c r="G35" s="184"/>
      <c r="H35" s="184"/>
      <c r="I35" s="184"/>
      <c r="J35" s="184"/>
      <c r="K35" s="184"/>
      <c r="L35" s="183" t="s">
        <v>249</v>
      </c>
      <c r="M35" s="181"/>
      <c r="N35" s="183" t="e">
        <f>#REF!</f>
        <v>#REF!</v>
      </c>
      <c r="O35" s="182"/>
      <c r="P35" s="182"/>
      <c r="Q35" s="182"/>
      <c r="R35" s="181"/>
      <c r="S35" s="180"/>
      <c r="T35" s="179"/>
      <c r="U35" s="179"/>
      <c r="V35" s="179"/>
      <c r="W35" s="179"/>
      <c r="X35" s="178"/>
      <c r="Y35" s="178"/>
      <c r="Z35" s="178"/>
      <c r="AA35" s="177"/>
    </row>
    <row r="36" spans="1:27" ht="20.100000000000001" customHeight="1" x14ac:dyDescent="0.15">
      <c r="A36" s="177"/>
      <c r="B36" s="455"/>
      <c r="C36" s="455"/>
      <c r="D36" s="185"/>
      <c r="E36" s="184"/>
      <c r="F36" s="184"/>
      <c r="G36" s="184"/>
      <c r="H36" s="184"/>
      <c r="I36" s="184"/>
      <c r="J36" s="184"/>
      <c r="K36" s="184"/>
      <c r="L36" s="183"/>
      <c r="M36" s="181"/>
      <c r="N36" s="183"/>
      <c r="O36" s="182"/>
      <c r="P36" s="182"/>
      <c r="Q36" s="182"/>
      <c r="R36" s="181"/>
      <c r="S36" s="180"/>
      <c r="T36" s="179"/>
      <c r="U36" s="179"/>
      <c r="V36" s="179"/>
      <c r="W36" s="179"/>
      <c r="X36" s="178"/>
      <c r="Y36" s="178"/>
      <c r="Z36" s="178"/>
      <c r="AA36" s="177"/>
    </row>
    <row r="37" spans="1:27" ht="32.25" customHeight="1" x14ac:dyDescent="0.15">
      <c r="C37" s="87"/>
      <c r="M37" s="139"/>
      <c r="W37" s="139"/>
      <c r="X37" s="87"/>
      <c r="AA37" s="24"/>
    </row>
    <row r="38" spans="1:27" ht="20.100000000000001" customHeight="1" x14ac:dyDescent="0.15"/>
    <row r="39" spans="1:27" ht="20.100000000000001" customHeight="1" x14ac:dyDescent="0.15"/>
    <row r="40" spans="1:27" ht="20.100000000000001" customHeight="1" x14ac:dyDescent="0.15"/>
    <row r="41" spans="1:27" ht="20.100000000000001" customHeight="1" x14ac:dyDescent="0.15"/>
    <row r="42" spans="1:27" ht="20.100000000000001" customHeight="1" x14ac:dyDescent="0.15"/>
  </sheetData>
  <autoFilter ref="A6:AK7" xr:uid="{00000000-0009-0000-0000-000008000000}"/>
  <mergeCells count="58">
    <mergeCell ref="B35:C35"/>
    <mergeCell ref="B36:C36"/>
    <mergeCell ref="B29:C29"/>
    <mergeCell ref="B30:C30"/>
    <mergeCell ref="B31:C31"/>
    <mergeCell ref="B32:C32"/>
    <mergeCell ref="B33:C33"/>
    <mergeCell ref="B34:C34"/>
    <mergeCell ref="B28:C28"/>
    <mergeCell ref="B16:C16"/>
    <mergeCell ref="B17:C17"/>
    <mergeCell ref="B18:C18"/>
    <mergeCell ref="B19:C19"/>
    <mergeCell ref="B20:C20"/>
    <mergeCell ref="B21:C21"/>
    <mergeCell ref="B23:C23"/>
    <mergeCell ref="B24:C24"/>
    <mergeCell ref="B25:C25"/>
    <mergeCell ref="B26:C26"/>
    <mergeCell ref="B27:C27"/>
    <mergeCell ref="AI3:AI6"/>
    <mergeCell ref="Q3:Q4"/>
    <mergeCell ref="R3:R4"/>
    <mergeCell ref="S3:S4"/>
    <mergeCell ref="T3:T4"/>
    <mergeCell ref="Z3:Z4"/>
    <mergeCell ref="A9:A10"/>
    <mergeCell ref="A11:A12"/>
    <mergeCell ref="AH3:AH6"/>
    <mergeCell ref="AK3:AK6"/>
    <mergeCell ref="A7:A8"/>
    <mergeCell ref="AA3:AA5"/>
    <mergeCell ref="AC3:AC5"/>
    <mergeCell ref="AD3:AD5"/>
    <mergeCell ref="AE3:AE5"/>
    <mergeCell ref="AF3:AF5"/>
    <mergeCell ref="AG3:AG5"/>
    <mergeCell ref="V3:W3"/>
    <mergeCell ref="X3:Y3"/>
    <mergeCell ref="AJ3:AJ6"/>
    <mergeCell ref="U3:U4"/>
    <mergeCell ref="P3:P4"/>
    <mergeCell ref="A1:AA1"/>
    <mergeCell ref="U2:W2"/>
    <mergeCell ref="Z2:AA2"/>
    <mergeCell ref="A3:A5"/>
    <mergeCell ref="B3:B5"/>
    <mergeCell ref="C3:C5"/>
    <mergeCell ref="D3:D5"/>
    <mergeCell ref="E3:E5"/>
    <mergeCell ref="F3:F5"/>
    <mergeCell ref="G3:I3"/>
    <mergeCell ref="N3:N4"/>
    <mergeCell ref="O3:O4"/>
    <mergeCell ref="J3:J4"/>
    <mergeCell ref="K3:K5"/>
    <mergeCell ref="L3:L4"/>
    <mergeCell ref="M3:M4"/>
  </mergeCells>
  <phoneticPr fontId="6" type="noConversion"/>
  <printOptions horizontalCentered="1"/>
  <pageMargins left="0.78740157480314965" right="0.39370078740157483" top="0.78740157480314965" bottom="0.78740157480314965" header="0.51181102362204722" footer="0.51181102362204722"/>
  <pageSetup paperSize="8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10</vt:i4>
      </vt:variant>
    </vt:vector>
  </HeadingPairs>
  <TitlesOfParts>
    <vt:vector size="19" baseType="lpstr">
      <vt:lpstr>排水工程工程量总表</vt:lpstr>
      <vt:lpstr>管道</vt:lpstr>
      <vt:lpstr>雨水检查井20S515 </vt:lpstr>
      <vt:lpstr>钢筋砼污水检查井20S515 </vt:lpstr>
      <vt:lpstr>钢筋砼雨水三通井20S515</vt:lpstr>
      <vt:lpstr>雨水三通井20S515（砖砌） </vt:lpstr>
      <vt:lpstr>预制混凝土雨水口</vt:lpstr>
      <vt:lpstr>砼全包管</vt:lpstr>
      <vt:lpstr>雨污水共沟开挖段</vt:lpstr>
      <vt:lpstr>'钢筋砼污水检查井20S515 '!Print_Area</vt:lpstr>
      <vt:lpstr>钢筋砼雨水三通井20S515!Print_Area</vt:lpstr>
      <vt:lpstr>管道!Print_Area</vt:lpstr>
      <vt:lpstr>排水工程工程量总表!Print_Area</vt:lpstr>
      <vt:lpstr>'雨水检查井20S515 '!Print_Area</vt:lpstr>
      <vt:lpstr>'雨水三通井20S515（砖砌） '!Print_Area</vt:lpstr>
      <vt:lpstr>雨污水共沟开挖段!Print_Area</vt:lpstr>
      <vt:lpstr>预制混凝土雨水口!Print_Area</vt:lpstr>
      <vt:lpstr>管道!Print_Titles</vt:lpstr>
      <vt:lpstr>雨污水共沟开挖段!Print_Titles</vt:lpstr>
    </vt:vector>
  </TitlesOfParts>
  <Company>NNCX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风轻无痕</dc:creator>
  <cp:lastModifiedBy>Administrator</cp:lastModifiedBy>
  <cp:lastPrinted>2025-04-15T08:44:48Z</cp:lastPrinted>
  <dcterms:created xsi:type="dcterms:W3CDTF">2019-03-19T02:13:55Z</dcterms:created>
  <dcterms:modified xsi:type="dcterms:W3CDTF">2025-07-25T06:57:57Z</dcterms:modified>
</cp:coreProperties>
</file>