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3" r:id="rId1"/>
  </sheets>
  <definedNames>
    <definedName name="_xlnm.Print_Area" localSheetId="0">Sheet2!$A$1:$K$18</definedName>
    <definedName name="_xlnm.Print_Titles" localSheetId="0">Sheet2!$1:$3</definedName>
  </definedNames>
  <calcPr calcId="144525"/>
</workbook>
</file>

<file path=xl/sharedStrings.xml><?xml version="1.0" encoding="utf-8"?>
<sst xmlns="http://schemas.openxmlformats.org/spreadsheetml/2006/main" count="100" uniqueCount="76">
  <si>
    <t>忻城县公安局情报指挥中心调度大屏幕采购安装项目采购计划审核表</t>
  </si>
  <si>
    <t>填报部门：</t>
  </si>
  <si>
    <t>填报时间：2025年3月13日</t>
  </si>
  <si>
    <t>序号</t>
  </si>
  <si>
    <t>项目名称</t>
  </si>
  <si>
    <t>参考型号规格</t>
  </si>
  <si>
    <t>配置技术参数</t>
  </si>
  <si>
    <t>计量
单位</t>
  </si>
  <si>
    <t>送审单价
（元）</t>
  </si>
  <si>
    <t>送审
数量</t>
  </si>
  <si>
    <t>送审合计
（元）</t>
  </si>
  <si>
    <t>审核单价
（元）</t>
  </si>
  <si>
    <t>审核合计
（元）</t>
  </si>
  <si>
    <t>审核核减
（元）</t>
  </si>
  <si>
    <t>P1.2室内全彩显示屏</t>
  </si>
  <si>
    <t>参考品牌：海康威视DS-D4112CA-1PM/LB
参考品牌：利亚德VHD27F012
参考品牌：洲明ZM-MOUV-F</t>
  </si>
  <si>
    <t xml:space="preserve">1、LED像素点间距≤1.25mm;像素密度≥640000点/㎡。
2、显示屏幕峰值亮度≥600cd/㎡,峰值功耗≤450W/㎡ ，平均功耗≤150W/㎡。
3、★支持信源接入状态显示,可通过物理按键、客户端、遥控器、设备自带Web 浏览器进行信源切换（提供首页具有CNAS及CMA标识的第三方检测报告复印件并加盖厂家公章）。
4、★支持通过 Web 浏览器查看 LED 整墙的概览信息和 LED 屏连线状态;支持查看行列网格展示屏幕接收卡规模,在Web 端鼠标移到网格上时,可展示该网格所属网口的所有接收卡单元并高亮展示,可展示网线连线顺序、网口号、工作状态（提供首页具有CNAS及CMA标识的第三方检测报告复印件并加盖厂家公章）。
5、显示屏面积≥30.62m²，显示尺寸≥7.36m×4.16m。
6、白平衡亮度≥500 cd/㎡，色温：3000-10000 K可调，可视角：160°(H)/160°(V)，对比度：3000：1，亮度均匀性：≥ 97％。
6、★支持从客户端、设备自带 Web 浏览器查看绑定的接收卡序号、接收卡型号、接收卡软件版本、网口 link 状态、接收卡电压、接收卡温度（提供首页具有CNAS及CMA标识的第三方检测报告复印件并加盖厂家公章）。
7、★LED制造商应具有较强的实验室检测能力，具备灯和灯系统的光生物安全性 GB/T 20145-2006标准的测试能力（提供国家认可的中心实验室认证证书复印件及体现检测范围内容项）。
</t>
  </si>
  <si>
    <t>㎡</t>
  </si>
  <si>
    <t>https://user.bidcenter.com.cn/v2023/#/des/customDesSearch/333383518?mod=1&amp;tag=0&amp;keywords=DS-D4112CA</t>
  </si>
  <si>
    <t>https://user.bidcenter.com.cn/v2023/#/des/customDesSearch/327214131?mod=1&amp;tag=0&amp;keywords=DS-D4112CA</t>
  </si>
  <si>
    <t>https://user.bidcenter.com.cn/v2023/#/des/customDesSearch/325644294?mod=1&amp;tag=0&amp;keywords=DS-D4112CA</t>
  </si>
  <si>
    <t>https://user.bidcenter.com.cn/v2023/#/des/customDesSearch/327952914?mod=1&amp;tag=0&amp;keywords=%E5%88%A9%E4%BA%9A%E5%BE%B7VHD27F012</t>
  </si>
  <si>
    <t>https://user.bidcenter.com.cn/v2023/#/des/customDesSearch/272989392?mod=1&amp;tag=0&amp;keywords=%E5%88%A9%E4%BA%9A%E5%BE%B7VHD27F012</t>
  </si>
  <si>
    <t>https://user.bidcenter.com.cn/v2023/#/des/customDesSearch/249051261?mod=1&amp;tag=0&amp;keywords=%E5%88%A9%E4%BA%9A%E5%BE%B7VHD27F012</t>
  </si>
  <si>
    <t>LED一体化支架</t>
  </si>
  <si>
    <t>参考品牌：海康威视LED一体化支架
参考品牌：利亚德LED支架
参考品牌：洲明LED支架</t>
  </si>
  <si>
    <t xml:space="preserve">1、支架厚度≥600mm。
2、含开门及封板：前封板后开门，含侧封板、顶盖板。
3、材料：SPCC 高强度钢板。
4、表面处理：静电喷塑。 </t>
  </si>
  <si>
    <t>https://user.bidcenter.com.cn/v2023/#/des/customDesSearch/326970417?mod=1&amp;tag=0&amp;keywords=%E6%B5%B7%E5%BA%B7%E5%A8%81%E8%A7%86DS-D40D30</t>
  </si>
  <si>
    <t>配电柜</t>
  </si>
  <si>
    <t>参考品牌：海康威视DS-D40D30
参考品牌：利亚德30KW配电柜
参考品牌：洲明30KW配电柜</t>
  </si>
  <si>
    <t xml:space="preserve">1、配电柜额定功率≥30KW，具备≥9个单相回路。
2、可通过RS485接口读取配电柜内部温度。
3、检测到烟雾后可自动断电。
4、超过温度阈值后可自动断电。
5、输入输出均有断路器保护措施，在发生过流或短路后可以自动断电。
6、支持手动一键启动、停止；支持单路启动停止；支持分时段控制；支持电脑远程控制。
7、支持记录运行状态、异常报警（高温、烟雾）等。
8、网络接口：支持MODBUS-TCP协议。
9、串口通讯端口：支持RS485、MODBUS-RTU协议。
10、支持设备分级上电，避免瞬间电流过大。
11、电源管理系统拥有热成像人体传感检测功能，可检测站姿、坐姿、蹲姿三种人员姿态。热成像检测通道不受光线影响，满足全天 24 小时检测需求。
12、可实现检测到人员后1秒内自动上电，检测到人员离开后自动断电功能，从而实现节约能源的效果，并且自动延迟断电的时间可配置，延迟时长由0分钟至99分钟任意配置。
</t>
  </si>
  <si>
    <t>台</t>
  </si>
  <si>
    <t>https://user.bidcenter.com.cn/v2023/#/des/customDesSearch/333105068?mod=1&amp;tag=0&amp;keywords=%E6%B5%B7%E5%BA%B7%E5%A8%81%E8%A7%86DS-D40D30</t>
  </si>
  <si>
    <t>https://user.bidcenter.com.cn/v2023/#/des/customDesSearch/330567103?mod=1&amp;tag=0&amp;keywords=%E6%B5%B7%E5%BA%B7%E5%A8%81%E8%A7%86DS-D40D30</t>
  </si>
  <si>
    <t>https://user.bidcenter.com.cn/v2023/#/des/customDesSearch/256750233?mod=1&amp;tag=0&amp;keywords=%E5%88%A9%E4%BA%9A%E5%BE%B7MVC-5G</t>
  </si>
  <si>
    <t>https://user.bidcenter.com.cn/v2023/#/des/customDesSearch/323282602?mod=1&amp;tag=0&amp;keywords=%E6%B5%B7%E5%BA%B7%E5%A8%81%E8%A7%86DS-DT60C-01HI06NO</t>
  </si>
  <si>
    <t>视频矩阵</t>
  </si>
  <si>
    <t>参考品牌：海康威视DS-B32-S10/LBHS
参考品牌：利亚德MVC-5G-07-5010L-4D8H
参考品牌：洲明ZM-NIAKK29-F</t>
  </si>
  <si>
    <t xml:space="preserve">1、采用嵌入式纯硬件架构,无需其他操作系统。
2、支持选中取流成功的窗口操作远程云台功能。
3、★将远程笔记本桌面进行整屏、单窗口抓屏上墙，实时画面帧率最大≥30fps；支持同时8路4K（3840×2160）信号上墙显示，且上墙前后 CPU 占用率无明显变化；支持在电视墙进行 8 画面分割显示（提供公安部出具的CNAS报告复印件加盖原厂商公章）。
4、★客户端软件支持对电视墙进行回显功能，可将拼接电视墙显示画面作为输入信号接入显示器；每个电视墙支持独立回显，回显内容和大屏内容同步。（提供公安部出具的CNAS报告复印件加盖原厂商公章）
5、支持将1路输入视频图像发送至多个输出接口拼接显示；支持将多路输入视频图像发送至多个输出接口拼接显示；支持设备内任意输出解码板之间的拼接或集群内任意设备输出口拼接功能。最大支持拼接32路（1920 ×1080）像素的视频图像；拼接时不同输出口之间画面同步，无撕裂感，且无缝拼接。支持多块屏幕图像的任意规格拼接，支持将所有显示单元拼接形成一个高分辨率的无缝单一屏。全屏刷新时间≤20ms。
6、★支持通过客户端预编辑操作。预编辑不实时上墙，待完成编辑后切换上墙；预编辑操作包括窗口操作(开关窗、漫游、缩放、分屏、置顶、置底、子窗口放大还原、启停解码)、上墙操作（本地信号源、网络源上墙、单窗口轮巡、多窗口轮巡）、字幕操作（开启、关闭、设置参数）。单墙预编辑操作的过程中其他电视墙不受影响（提供公安部出具的CNAS报告复印件加盖原厂商公章）。
7、整机最多支持20个拼接源，每个拼接源支持分辨率最大16384×6480、30Hz图像上墙功能，并且可以实现解码显示或本地回放实时视频，可设置点对点无缩放上墙。支持支持接入4096×4320、8192×2160、15360×6480、15360×8640、16384×6480等分辨率图像信号。
8、支持对接入视频图像进行1/4/6/8/9/16/25/36/49/64画面分割显示，视频切换流畅无黑屏。整机10张解码板支持最大512个窗口。
9、支持日期时间和字符两种字符叠加（OSD）类型配置。支持手动启用或停用OSD；日期时间OSD支持修改日期格式和时间格式；字符叠加OSD支持自定义OSD内容，并支持修改字体大小、字体颜色和OSD显示位置坐标；支持将一个本地信号源的OSD配置参数复制到其他通道进行批量配置；客户端可实时预览叠加OSD的图像。
10、★单子板解码能力：2路3200W/2路2400W/4路1200W/8路800W/10路600W/12路500W/16路400W/20路300W/36路200w/72路720P及以下分辨率； 整机10张解码卡解码能力：20路3200W/20路2400W/40路1600W/40路1200W/80路800W/100路600W/160路400W/360路1080P/720路720P/D1 及以下分辨率（提供公安部出具的CNAS报告复印件加盖原厂商公章）。
11、★支持虚拟LED字幕功能，支持设置字体颜色、背景颜色，滚动和静止模式，滚动速度，滚动的情况下要求流畅无卡顿；字幕内容输入支持中英文字符，支持换行；设备支持时钟数字显示，时间为设备自身时间；支持配置显示年月日时分秒的样式以及12/24时间制式；整机10张解码卡最大支持8个字幕同时显示，单墙支持3条字幕；支持滚动模式下首尾相接效果，支持跑马灯效果（提供公安部出具的CNAS报告复印件加盖原厂商公章）。
12、★支持获取序列号、软件版本、工作时长、设备温度等屏幕关键信息；支持控制拼接屏开关；支持获取并调节屏幕背光；支持获取并调节屏幕图像模式。（提供公安部出具的CNAS报告复印件加盖原厂商公章）
12、支持以下输出分辨率：1024×768@60Hz、1280×1024@60Hz、1366×768@60Hz、1440×900@60Hz、1680×1050@60Hz、1280×960@60Hz、1600×1200@60Hz、1280×720P@50Hz、1280×720P@60Hz、1920×1080P@50Hz、1920×1080P@60Hz、1920×1200@60Hz、3840×2160@30Hz。
13、支持以下输出视频分辨率：1920×1200@60Hz、1920×1080@60Hz、1920×1080@50Hz、1680×1050@60Hz、1280×720@60Hz、1280×720@50Hz、1280×1024@60Hz、1024×768@60Hz、3840× 2160@30Hz、4096×2160@30Hz。
14、★支持通过自动识别屏幕的行列号信息生成对应的电视墙规模和绑定输出口关系，进行绑定（提供公安部出具的CNAS报告复印件加盖原厂商公章）。
14、支持IPV6网络协议兼容，支持与IPC、NVR、平台设备对接。（提供公安部出具的CNAS报告复印件加盖原厂商公章）
15、★支持音频矩阵设置，具有AudioIn和AudioOut，支持可视化快速关联，最大支持16进16出矩阵切换。支持单墙绑定1路音频输出；支持音视频解绑，可通过矩阵界面一键切换音频输入输出关联关系；可自定义编辑音频输入、输出接口名称，支持至少32个字符的中英文名称。可设置音频输入输出接口是否在矩阵界面中显示，支持查看已绑定音频的输出通道图标显示；支持同一输入音频可绑定多个输出通道。支持一键解除所有音频输入输出关联关系；支持DP转3.5mm音频与HDMI内嵌音频选择输入，支持DP转3.5mm音频与HDMI内嵌音频同时输出（提供公安部出具的CNAS报告复印件加盖原厂商公章）。
16、支持电源冗余设置，支持（1+1）冗余电源，当一路电源模块出现异常时，系统可以自动无缝切换到备用电源模块，电源切换过程系统运行不受影响。
17、支持根据温度变化自动调整转速，风扇模块支持热插拔操作。
18、本地信号源输入到输出延时≤80毫秒。
19、★机箱为4.5U标准机架式机箱，具有10槽位，输入最高支持40路，输出最高支持60路；同时支持双电源、双主控。（提供公安部出具的CNAS报告复印件加盖原厂商公章）
</t>
  </si>
  <si>
    <t>https://user.bidcenter.com.cn/v2023/#/des/customDesSearch/315075824?mod=1&amp;tag=0&amp;keywords=%E6%B5%B7%E5%BA%B7%E5%A8%81%E8%A7%86DS-B32-S10</t>
  </si>
  <si>
    <t>HDMI输入板</t>
  </si>
  <si>
    <t>参考品牌：海康威视DS-B32-04HI
参考品牌：利亚德LY-HDMI-20IN
参考品牌：洲明ZM-HDMI-OUTFQ</t>
  </si>
  <si>
    <t>1、支持≥4路HDMI信号输入，单路分辨率≤1920 × 1200@60Hz。
2、单板编码能力≥4路1080p@60Hz。
3、支持H.264/H.265编码，默认采用H.265。
4、支持两种音频输入方式：HDMI内嵌音频和外置音频输入。
5、音频输入支持16bit，48K Hz采样，支持双声道，立体声。
6、音频输入接口数≥4。
7、音频输入接口类型：HDMI内嵌 或 mini-DP转3.5mm。
8、音频采样率：48KHz/44.1KHz。
9、视频输入分辨率：1024×768@60Hz、1280×1024@60Hz、1366×768@60Hz、1440×900@60Hz、1680×1050@60Hz、1280×960@60Hz、1600×1200@60Hz、1280×720P@50Hz、1280×720P@60Hz、1920×1080P@50Hz、1920×1080P@60Hz、1920×1200@60Hz。</t>
  </si>
  <si>
    <t>VGA输入板</t>
  </si>
  <si>
    <t>参考品牌：海康威视DS-B32-04VI
参考品牌：利亚德LY-VGA-20IN
参考品牌：洲明ZM-VGA-INFI</t>
  </si>
  <si>
    <t xml:space="preserve">1、支持≥4路VGA信号输入，单路分辨率≤1920 × 1200@60Hz。
2、单板编码能力为≥4路1080p@60Hz。
3、支持H.264/H.265编码，默认采用H.265。
4、支持外置音频输入。
5、视频输入分辨率：1024×768@60Hz、1280×1024@60Hz、1366×768@60Hz、1440×900@60Hz、1680×1050@60Hz、1280×960@60Hz、1600×1200@60Hz、1280×720P@50Hz、1280×720P@60Hz、1920×1080P@50Hz、1920×1080P@60Hz、1920×1200@60Hz 
6、视频编码能力：编码双码流，其中子码流含 CIF(352×288)/FCIF(704×576)/WD1(960×576)/720P(1280×720)，主码流含 720P(1280×720) /XVGA(1280×960)/UXGA(1600×1200)/1080P(1920×1080)/XGA(1024×768)/WXGA(1360×768)/SXGA(1280×1024)/SXGA+(1400×1050)/WSXGA(1440×900)/WSXGA+(1680×1050)/1920×1200，帧率最大30帧。 
7、音频编码格式：G722.1,G711u,G711A可配。 </t>
  </si>
  <si>
    <t>HDMI输出板</t>
  </si>
  <si>
    <t>参考品牌：海康威视DS-B32-04HO
参考品牌：利亚德LY-HDMI-20OUT
参考品牌：洲明ZM-HDMI-OUT</t>
  </si>
  <si>
    <t xml:space="preserve">1、支持≥4路HDMI信号输出，单路分辨率≤1920 × 1200@60Hz，奇数口支持4K输出。
2、可自定义输出分辨率，单口带载能力260W。
3、具有≥64路视频解码通道，解码能力达≥32路200W，支持3200W高清视频解码。
4、支持H.265、H.264、MPEG等主流格式。
5、支持两种音频输出方式：HDMI内嵌音频和外置音频输出。
6、视频输出分辨率：支持4096*2160@30HZ（奇数口）、3840*2160@30HZ（奇数口）、1920*1200@60HZ、1920×1080@60Hz、1680×1050@60Hz、1600*1200@60Hz、1280×720@60Hz、1280×1024@60Hz、1024×768@60Hz。
7、视频解码能力：H264/H265/Smart264/Smart265格式，支持2路3200W/2400W，或4 路1600W/1200W，或8路800W，或12路600W/500W，或16路400W，或20 路300W，或32 路1080P，或64路720P/D1 及以下分辨率实时解码。（每4个输出口一组，共享解码能力）。
8、MJPEG格式，支持4路200W解码。MJPEG格式，支持4路200W解码。 
9、音频输出接口类型：HDMI内嵌 或 mini-DP转3.5mm。
10、音频输出接口数≥4 。
11、音频解码格式：G711-A,G711-U,G722.1,G726-16/U/A,MPEG,AAC-LC。 </t>
  </si>
  <si>
    <t>LED同步控制器</t>
  </si>
  <si>
    <t>参考品牌：海康威视DS-DT60C-01HI06NO/LBAQ
参考品牌：利亚德LY-HDMI-LED
参考品牌：洲明ZM-LED-F-C</t>
  </si>
  <si>
    <t>1、输入：≥1个HDMI1.4、≥1个USB2.0、≥1个DEBUG、≥2个网络通信网口、1个RS485、1个IR IN，输出：≥1个3.5mm Line out，≥1个HDMI (Monitor) ，≥6个带载网口，按键：≥1个开关、≥3个功能按键。
2、★控制网口×2，支持TCP/IP网络协议，双网口均可用于控制设备或设备网络级联，其中一个接口用于控制设备时，另外一个网口就用于设备网络级联（提供首页具有CNAS或CMA标识的第三方检测报告复印件并加盖厂家公章）。
3、信号输入：1路HDMI，每路支持分辨率：260W@60Hz，可自定义分辨率，极限宽度：4096，极限高度：4096；支持HDCP。
4、单网口带载最大65W像素，设备总带载最大390W像素。
5、★支持通过设备自带Web浏览器、客户端、遥控器操作，对图像的图像的亮度、色温以及图像模式进行调节设置（提供首页具有CNAS或CMA标识的第三方检测报告复印件并加盖厂家公章）。
6、支持动态节能算法，开启动态节能算法后，相同显示内容屏幕功耗降低30%。
7、支持射频遥控器和红外两种遥控器。
8、支持任意走线、LED屏幕带载无矩形框架限制（提供首页具有CNAS或CMA标识的第三方检测报告复印件并加盖厂家公章）。
9、支持通过设备双千兆网络接口，通过TCP/IP协议实现多设备级联管理。
10、★可通过物理按键、客户端、Web浏览器方式对屏幕红、绿、蓝、白、条纹逐行扫描进行自检操作（提供首页具有CNAS或CMA标识的第三方检测报告复印件并加盖厂家公章）。
11、可通过设备自带客户端、遥控器同时控制多台发送卡设备参数的调节（提供首页具有CNAS或CMA标识的第三方检测报告复印件并加盖厂家公章）。
12、支持通过HDMI线直接传递分辨率信息实现输出分辨率配置、序列号。
13、★支持通过Web区分屏幕走线正常/掉线/异常等状态。
14、★支持通过Web浏览器登录主设备，查看主发送卡下所有级联从发送卡的屏幕位置、发送卡IP 地址、序列号、带载屏幕分辨率、运行状态、软件版本、运行温度 内存使用率等信息（提供首页具有CNAS或CMA标识的第三方检测报告复印件并加盖厂家公章）。
15、★支持在级联模式下指定主从关系，可以任意指定一台发送卡作为主发送卡，其他发送卡作为从发送卡，级联模式下登录主发送卡设备，可以查看所管理的全部从发送卡的设备运行状态（提供首页具有CNAS或CMA标识的第三方检测报告复印件并加盖厂家公章）。
16、支持通过设备web浏览器或客户端通过网络IP地址访问设备，通过管理主发送卡转发命令 从而控制从发送卡，支持批量重启、批量全屏数据加载、批量校时、无接收卡批量型号导入、开机logo、屏保等设置。</t>
  </si>
  <si>
    <t>https://user.bidcenter.com.cn/v2023/#/des/customDesSearch/333571093?mod=1&amp;tag=0&amp;keywords=%E6%B5%B7%E5%BA%B7%E5%A8%81%E8%A7%86DS-DT60C-01HI06NO</t>
  </si>
  <si>
    <t>https://user.bidcenter.com.cn/v2023/#/des/customDesSearch/336982877?mod=1&amp;tag=0&amp;keywords=%E6%B5%B7%E5%BA%B7%E5%A8%81%E8%A7%86DS-DT60C-01HI06NO</t>
  </si>
  <si>
    <t>控制软件</t>
  </si>
  <si>
    <t>参考品牌：海康威视Smart Wall电视墙软件
参考品牌：诺瓦NUOWA显示屏控制系统
参考品牌：卡莱特LED 演播室</t>
  </si>
  <si>
    <t xml:space="preserve">1、支持管理LCD、LED电视墙
2、支持信号源预览，支持电视墙可视化操作（受控设备需支持该功能）
3、支持登录网络源的账号密码进行网络源预览
4、支持窗口创建、清空、移动、改变大小、置顶、置底操作
5、支持窗口放大还原、全屏显示、画面拼接，支持窗口锁定
6、支持监控画面及本地源画面上墙操作
7、支持添加字幕，编辑字幕信息，包括文字字幕、时钟字幕等，支持编辑字幕背景色，透明度
8、支持预编辑功能：支持进入预编辑操作界面，对电视墙进行进行操作，实际电视墙无变化，通过上墙按键将配置的电视墙界面投到大屏中
9、支持场景保存，支持场景调用及场景切换
10、支持一键清空所有窗口信息
</t>
  </si>
  <si>
    <t>套</t>
  </si>
  <si>
    <t>https://user.bidcenter.com.cn/v2023/#/des/customDesSearch/318235463?mod=1&amp;tag=0&amp;keywords=%E5%88%A9%E4%BA%9A%E5%BE%B7MVC-5G</t>
  </si>
  <si>
    <t>UPS</t>
  </si>
  <si>
    <t>参考品牌：海康威视DS-IUH3330L-K/TJ
参考品牌：山特3C3-EX30KS
参考品牌：科华FR-UK3330</t>
  </si>
  <si>
    <t xml:space="preserve">额定容量：27KW/30KVA
额定输入电压：380/400/415Vac
输入电压范围：138～485Vac
相数：三相五线
输入频率范围：40~70 Hz
输入功率因数：满载≥0.99
输出电压：380/400/415(1±1%)Vac
输出频率：市电模式：与输入同步；当市电频率超出最大±10%（可设置±1%、±2%、±4%、±5%）时，输出频率50/60(±0.1); 电池模式：50/60(±0.1) 
整机效率：≥95%
功率因数：0.9
过载能力：115％以下：长时间运行；115％~130％：15min；130％~155％：1min；＞155%：200ms
电池电压：支持24-40节可设(默认32节)
工作温度：-5℃～40℃
存储温度：-25℃～55℃(不含电池)
相对湿度：0%～95%(不凝露)
工作海拔：&lt;1500米，超过按照GB/T 3859.2规定降额使用
告警功能：具备LCD和蜂鸣器声光告警
保护功能：具备输出过载、短路；电池欠压、过压；充电过温、短路；交流输入电压、频率、相序异常；UPS过温、风机故障等
通信功能：通讯功能标配 RS485，可定制 RS232、干接点 、SNMP
电池规格
1、标称电压：12V
2：额定容量：65Ah（C10，1.8V/单体、25℃）
3、尺寸：350*166*175mm
4、重量：19.5Kg±3%
5、内阻：约7.5mΩ（荷电状态25℃）
6、短路电流：1600A
7、自放电：≤3%/月（25℃）
8、适用温度范围：-20℃~50℃
9、设计寿命：10年
10、执行标准：GB/T 19638.1-2014
11、均充电压：2.35V/单体（25℃）
12、浮充电压V/单体：2.25V/单体（25℃）
13、温度补偿系数：-4mV/℃·单体
14、最大充电电流 ：16A
</t>
  </si>
  <si>
    <t>https://user.bidcenter.com.cn/v2023/#/des/customDesSearch/288817538?mod=1&amp;tag=0&amp;keywords=%E6%B5%B7%E5%BA%B7%E5%A8%81%E8%A7%86DS-IUH3330L-K</t>
  </si>
  <si>
    <t>https://user.bidcenter.com.cn/v2023/#/des/customDesSearch/248139660?mod=1&amp;tag=0&amp;keywords=%E6%B5%B7%E5%BA%B7%E5%A8%81%E8%A7%86DS-IUH3330L-K</t>
  </si>
  <si>
    <t>钢结构工程施工</t>
  </si>
  <si>
    <t>定制</t>
  </si>
  <si>
    <t>1、按照LED屏幕的拼接尺寸及造型要求，配置重量轻、高强度、高精度的钢结构框架定制铝合金包边等作为屏幕显示箱体的固定支架，保证箱体拼接安装的平整度，采用专用钢结构支架，拼接效果好，美观轻巧。
2、规范显示屏体、供电配电、操控及信号传输等设备的安装走线，便于维修检测，避免信号受干扰，按照标准布线规范和工艺要求，对产品的强电、弱电、信号、防雷接地等线路要进行有效的隔离和线路保护，确保屏幕的使用安全可靠；</t>
  </si>
  <si>
    <t>安装调试费</t>
  </si>
  <si>
    <t>钢结构和屏体的安装(软硬件安装)、联动调试、故障排查、强电接入施工（按现场需求）、显示屏培训及试运行</t>
  </si>
  <si>
    <t>项</t>
  </si>
  <si>
    <t>拆除原屏费</t>
  </si>
  <si>
    <t>1、现场需要拆除原液晶拼接屏和利旧安装。
2、装完屏还修补原液晶拼接屏和墙体相接处强面。</t>
  </si>
  <si>
    <t>安装辅材</t>
  </si>
  <si>
    <t>1、货装运抵需方指定施工地点含二次搬运（施工在局三楼）
2、安装大屏用到的各类辅材（电线、网线、线管、线槽）。</t>
  </si>
  <si>
    <t>合计</t>
  </si>
  <si>
    <t>负责人：  蓝健华                                                                                     联系人：韦飞宇                                                                            联系电话：13878235679</t>
  </si>
</sst>
</file>

<file path=xl/styles.xml><?xml version="1.0" encoding="utf-8"?>
<styleSheet xmlns="http://schemas.openxmlformats.org/spreadsheetml/2006/main">
  <numFmts count="6">
    <numFmt numFmtId="176" formatCode="0.00_);[Red]\(0.00\)"/>
    <numFmt numFmtId="177"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2"/>
      <name val="宋体"/>
      <charset val="134"/>
    </font>
    <font>
      <sz val="9"/>
      <name val="宋体"/>
      <charset val="134"/>
    </font>
    <font>
      <sz val="10"/>
      <name val="宋体"/>
      <charset val="134"/>
    </font>
    <font>
      <sz val="18"/>
      <name val="宋体"/>
      <charset val="134"/>
    </font>
    <font>
      <sz val="10"/>
      <color rgb="FF000000"/>
      <name val="宋体"/>
      <charset val="134"/>
    </font>
    <font>
      <sz val="9"/>
      <color rgb="FF000000"/>
      <name val="宋体"/>
      <charset val="134"/>
    </font>
    <font>
      <sz val="9"/>
      <color theme="1"/>
      <name val="宋体"/>
      <charset val="134"/>
    </font>
    <font>
      <sz val="8"/>
      <name val="宋体"/>
      <charset val="134"/>
    </font>
    <font>
      <sz val="11"/>
      <color rgb="FF006100"/>
      <name val="宋体"/>
      <charset val="0"/>
      <scheme val="minor"/>
    </font>
    <font>
      <b/>
      <sz val="18"/>
      <color theme="3"/>
      <name val="宋体"/>
      <charset val="134"/>
      <scheme val="minor"/>
    </font>
    <font>
      <sz val="11"/>
      <color theme="1"/>
      <name val="宋体"/>
      <charset val="134"/>
      <scheme val="minor"/>
    </font>
    <font>
      <sz val="11"/>
      <color theme="1"/>
      <name val="宋体"/>
      <charset val="0"/>
      <scheme val="minor"/>
    </font>
    <font>
      <b/>
      <sz val="11"/>
      <color rgb="FFFA7D00"/>
      <name val="宋体"/>
      <charset val="0"/>
      <scheme val="minor"/>
    </font>
    <font>
      <b/>
      <sz val="11"/>
      <color theme="1"/>
      <name val="宋体"/>
      <charset val="0"/>
      <scheme val="minor"/>
    </font>
    <font>
      <i/>
      <sz val="11"/>
      <color rgb="FF7F7F7F"/>
      <name val="宋体"/>
      <charset val="0"/>
      <scheme val="minor"/>
    </font>
    <font>
      <sz val="11"/>
      <color theme="0"/>
      <name val="宋体"/>
      <charset val="0"/>
      <scheme val="minor"/>
    </font>
    <font>
      <b/>
      <sz val="11"/>
      <color theme="3"/>
      <name val="宋体"/>
      <charset val="134"/>
      <scheme val="minor"/>
    </font>
    <font>
      <sz val="11"/>
      <color rgb="FF9C6500"/>
      <name val="宋体"/>
      <charset val="0"/>
      <scheme val="minor"/>
    </font>
    <font>
      <b/>
      <sz val="13"/>
      <color theme="3"/>
      <name val="宋体"/>
      <charset val="134"/>
      <scheme val="minor"/>
    </font>
    <font>
      <sz val="11"/>
      <color rgb="FF9C0006"/>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rgb="FFF2F2F2"/>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rgb="FFFFCC99"/>
        <bgColor indexed="64"/>
      </patternFill>
    </fill>
    <fill>
      <patternFill patternType="solid">
        <fgColor theme="5"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1" fillId="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0" fillId="0" borderId="0">
      <alignment vertical="center"/>
    </xf>
    <xf numFmtId="0" fontId="15" fillId="6"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0" borderId="5" applyNumberFormat="false" applyFill="false" applyAlignment="false" applyProtection="false">
      <alignment vertical="center"/>
    </xf>
    <xf numFmtId="9"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18" fillId="0" borderId="7" applyNumberFormat="false" applyFill="false" applyAlignment="false" applyProtection="false">
      <alignment vertical="center"/>
    </xf>
    <xf numFmtId="42" fontId="10" fillId="0" borderId="0" applyFont="false" applyFill="false" applyBorder="false" applyAlignment="false" applyProtection="false">
      <alignment vertical="center"/>
    </xf>
    <xf numFmtId="0" fontId="15" fillId="17"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32"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11" fillId="24" borderId="0" applyNumberFormat="false" applyBorder="false" applyAlignment="false" applyProtection="false">
      <alignment vertical="center"/>
    </xf>
    <xf numFmtId="0" fontId="12" fillId="5" borderId="4" applyNumberFormat="false" applyAlignment="false" applyProtection="false">
      <alignment vertical="center"/>
    </xf>
    <xf numFmtId="0" fontId="24" fillId="0" borderId="0" applyNumberFormat="false" applyFill="false" applyBorder="false" applyAlignment="false" applyProtection="false">
      <alignment vertical="center"/>
    </xf>
    <xf numFmtId="41" fontId="10" fillId="0" borderId="0" applyFont="false" applyFill="false" applyBorder="false" applyAlignment="false" applyProtection="false">
      <alignment vertical="center"/>
    </xf>
    <xf numFmtId="0" fontId="15" fillId="25"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26" fillId="31" borderId="4" applyNumberFormat="false" applyAlignment="false" applyProtection="false">
      <alignment vertical="center"/>
    </xf>
    <xf numFmtId="0" fontId="27" fillId="5" borderId="10" applyNumberFormat="false" applyAlignment="false" applyProtection="false">
      <alignment vertical="center"/>
    </xf>
    <xf numFmtId="0" fontId="23" fillId="23" borderId="8" applyNumberFormat="false" applyAlignment="false" applyProtection="false">
      <alignment vertical="center"/>
    </xf>
    <xf numFmtId="0" fontId="25" fillId="0" borderId="9" applyNumberFormat="false" applyFill="false" applyAlignment="false" applyProtection="false">
      <alignment vertical="center"/>
    </xf>
    <xf numFmtId="0" fontId="15" fillId="28"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0" fillId="3" borderId="3"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8" fillId="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18"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5" fillId="27" borderId="0" applyNumberFormat="false" applyBorder="false" applyAlignment="false" applyProtection="false">
      <alignment vertical="center"/>
    </xf>
  </cellStyleXfs>
  <cellXfs count="37">
    <xf numFmtId="0" fontId="0" fillId="0" borderId="0" xfId="0" applyAlignment="true"/>
    <xf numFmtId="0" fontId="1" fillId="0" borderId="0" xfId="0" applyFont="true" applyBorder="true" applyAlignment="true">
      <alignment vertical="center"/>
    </xf>
    <xf numFmtId="0" fontId="2" fillId="0" borderId="0" xfId="0" applyFont="true" applyFill="true" applyAlignment="true">
      <alignment vertical="center"/>
    </xf>
    <xf numFmtId="0" fontId="2" fillId="0" borderId="0" xfId="0" applyFont="true" applyAlignment="true">
      <alignment vertical="center"/>
    </xf>
    <xf numFmtId="0" fontId="2" fillId="0" borderId="0" xfId="0" applyFont="true" applyAlignment="true">
      <alignment horizontal="center" vertical="center"/>
    </xf>
    <xf numFmtId="0" fontId="2" fillId="0" borderId="0" xfId="0" applyFont="true" applyAlignment="true">
      <alignment vertical="center" wrapText="true"/>
    </xf>
    <xf numFmtId="177" fontId="2" fillId="0" borderId="0" xfId="0" applyNumberFormat="true" applyFont="true" applyAlignment="true">
      <alignment vertical="center"/>
    </xf>
    <xf numFmtId="0" fontId="0" fillId="0" borderId="0" xfId="0" applyAlignment="true">
      <alignment horizontal="center" vertical="center" wrapText="true"/>
    </xf>
    <xf numFmtId="0" fontId="0" fillId="0" borderId="0" xfId="0" applyAlignment="true">
      <alignment wrapText="true"/>
    </xf>
    <xf numFmtId="0" fontId="3" fillId="0" borderId="0" xfId="0" applyFont="true" applyFill="true" applyAlignment="true">
      <alignment horizontal="center" vertical="center"/>
    </xf>
    <xf numFmtId="0" fontId="1" fillId="0" borderId="0" xfId="0" applyFont="true" applyFill="true" applyAlignment="true">
      <alignment vertical="center" wrapText="true"/>
    </xf>
    <xf numFmtId="0" fontId="1" fillId="0" borderId="0" xfId="0" applyFont="true" applyFill="true" applyAlignment="true">
      <alignment vertical="center"/>
    </xf>
    <xf numFmtId="0" fontId="4"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4" fillId="0" borderId="1" xfId="0" applyFont="true" applyBorder="true" applyAlignment="true">
      <alignment horizontal="left" vertical="center" wrapText="true"/>
    </xf>
    <xf numFmtId="0" fontId="2" fillId="0" borderId="1" xfId="0" applyFont="true" applyBorder="true" applyAlignment="true">
      <alignment horizontal="center" vertical="center" wrapText="true"/>
    </xf>
    <xf numFmtId="0" fontId="2" fillId="0" borderId="0" xfId="0" applyFont="true" applyBorder="true" applyAlignment="true">
      <alignment horizontal="left" vertical="center"/>
    </xf>
    <xf numFmtId="0" fontId="1" fillId="0" borderId="2" xfId="0" applyFont="true" applyBorder="true" applyAlignment="true">
      <alignment horizontal="center" vertical="center"/>
    </xf>
    <xf numFmtId="0" fontId="1" fillId="0" borderId="2" xfId="0" applyFont="true" applyBorder="true" applyAlignment="true">
      <alignment vertical="center"/>
    </xf>
    <xf numFmtId="0" fontId="1" fillId="0" borderId="2" xfId="0" applyNumberFormat="true" applyFont="true" applyBorder="true" applyAlignment="true">
      <alignment vertical="center"/>
    </xf>
    <xf numFmtId="0" fontId="1" fillId="0" borderId="1" xfId="0"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177" fontId="2" fillId="0" borderId="1" xfId="0" applyNumberFormat="true" applyFont="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xf>
    <xf numFmtId="10" fontId="2" fillId="0" borderId="0" xfId="0" applyNumberFormat="true" applyFont="true" applyAlignment="true">
      <alignment vertical="center"/>
    </xf>
    <xf numFmtId="0" fontId="0" fillId="0" borderId="0" xfId="0" applyFont="true" applyBorder="true" applyAlignment="true">
      <alignment horizontal="center" vertical="center" wrapText="true"/>
    </xf>
    <xf numFmtId="0" fontId="1" fillId="0" borderId="0" xfId="0" applyFont="true" applyFill="true" applyAlignment="true">
      <alignment horizontal="center" vertical="center" wrapText="true"/>
    </xf>
    <xf numFmtId="0" fontId="7" fillId="0" borderId="0" xfId="0" applyFont="true" applyFill="true" applyAlignment="true">
      <alignment horizontal="center" vertical="center" wrapText="true"/>
    </xf>
    <xf numFmtId="0" fontId="7" fillId="0" borderId="0" xfId="0" applyFont="true" applyAlignment="true">
      <alignment horizontal="center" vertical="center" wrapText="true"/>
    </xf>
    <xf numFmtId="0" fontId="7" fillId="0" borderId="0" xfId="0" applyFont="true" applyFill="true" applyAlignment="true">
      <alignment wrapText="true"/>
    </xf>
    <xf numFmtId="0" fontId="0" fillId="0" borderId="0" xfId="0" applyFont="true" applyBorder="true" applyAlignment="true">
      <alignment wrapText="true"/>
    </xf>
    <xf numFmtId="0" fontId="1" fillId="0" borderId="0" xfId="0" applyFont="true" applyFill="true" applyAlignment="true">
      <alignment wrapText="true"/>
    </xf>
    <xf numFmtId="0" fontId="7" fillId="0" borderId="0" xfId="0" applyFont="true" applyAlignment="true">
      <alignment vertical="center" wrapText="true"/>
    </xf>
    <xf numFmtId="0" fontId="0" fillId="0" borderId="0" xfId="0" applyAlignment="true">
      <alignmen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常规 10" xfId="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K21"/>
  <sheetViews>
    <sheetView tabSelected="1" view="pageBreakPreview" zoomScale="85" zoomScaleNormal="85" zoomScaleSheetLayoutView="85" topLeftCell="A15" workbookViewId="0">
      <selection activeCell="O15" sqref="O15"/>
    </sheetView>
  </sheetViews>
  <sheetFormatPr defaultColWidth="9" defaultRowHeight="15.75"/>
  <cols>
    <col min="1" max="1" width="4.93333333333333" style="4" customWidth="true"/>
    <col min="2" max="2" width="7.875" style="5" customWidth="true"/>
    <col min="3" max="3" width="21.5333333333333" style="3" customWidth="true"/>
    <col min="4" max="4" width="48" style="5" customWidth="true"/>
    <col min="5" max="5" width="5" style="3" customWidth="true"/>
    <col min="6" max="6" width="9" style="6" customWidth="true"/>
    <col min="7" max="7" width="9.625" style="3" customWidth="true"/>
    <col min="8" max="8" width="13.625" style="3" customWidth="true"/>
    <col min="9" max="9" width="9" style="6" customWidth="true"/>
    <col min="10" max="11" width="12" style="6" customWidth="true"/>
    <col min="12" max="12" width="9" style="3"/>
    <col min="13" max="13" width="2.34166666666667" style="7" customWidth="true"/>
    <col min="14" max="22" width="9" style="7"/>
    <col min="23" max="23" width="13.0833333333333" style="7" customWidth="true"/>
    <col min="24" max="24" width="10.4916666666667" style="7"/>
    <col min="25" max="34" width="9" style="7"/>
    <col min="35" max="35" width="9.56666666666667" style="7" customWidth="true"/>
    <col min="36" max="37" width="9.56666666666667" style="8" customWidth="true"/>
    <col min="38" max="16384" width="9" style="3"/>
  </cols>
  <sheetData>
    <row r="1" ht="40" customHeight="true" spans="1:11">
      <c r="A1" s="9" t="s">
        <v>0</v>
      </c>
      <c r="B1" s="9"/>
      <c r="C1" s="9"/>
      <c r="D1" s="9"/>
      <c r="E1" s="9"/>
      <c r="F1" s="9"/>
      <c r="G1" s="9"/>
      <c r="H1" s="9"/>
      <c r="I1" s="9"/>
      <c r="J1" s="9"/>
      <c r="K1" s="9"/>
    </row>
    <row r="2" s="1" customFormat="true" ht="21" customHeight="true" spans="1:37">
      <c r="A2" s="10" t="s">
        <v>1</v>
      </c>
      <c r="B2" s="11"/>
      <c r="C2" s="11"/>
      <c r="D2" s="11"/>
      <c r="E2" s="18" t="s">
        <v>2</v>
      </c>
      <c r="F2" s="19"/>
      <c r="G2" s="20"/>
      <c r="H2" s="19"/>
      <c r="I2" s="19"/>
      <c r="J2" s="19"/>
      <c r="K2" s="19"/>
      <c r="M2" s="28"/>
      <c r="N2" s="28"/>
      <c r="O2" s="28"/>
      <c r="P2" s="28"/>
      <c r="Q2" s="28"/>
      <c r="R2" s="28"/>
      <c r="S2" s="28"/>
      <c r="T2" s="28"/>
      <c r="U2" s="28"/>
      <c r="V2" s="28"/>
      <c r="W2" s="28"/>
      <c r="X2" s="28"/>
      <c r="Y2" s="28"/>
      <c r="Z2" s="28"/>
      <c r="AA2" s="28"/>
      <c r="AB2" s="28"/>
      <c r="AC2" s="28"/>
      <c r="AD2" s="28"/>
      <c r="AE2" s="28"/>
      <c r="AF2" s="28"/>
      <c r="AG2" s="28"/>
      <c r="AH2" s="28"/>
      <c r="AI2" s="28"/>
      <c r="AJ2" s="33"/>
      <c r="AK2" s="33"/>
    </row>
    <row r="3" s="2" customFormat="true" ht="47" customHeight="true" spans="1:37">
      <c r="A3" s="12" t="s">
        <v>3</v>
      </c>
      <c r="B3" s="13" t="s">
        <v>4</v>
      </c>
      <c r="C3" s="12" t="s">
        <v>5</v>
      </c>
      <c r="D3" s="12" t="s">
        <v>6</v>
      </c>
      <c r="E3" s="21" t="s">
        <v>7</v>
      </c>
      <c r="F3" s="21" t="s">
        <v>8</v>
      </c>
      <c r="G3" s="21" t="s">
        <v>9</v>
      </c>
      <c r="H3" s="22" t="s">
        <v>10</v>
      </c>
      <c r="I3" s="22" t="s">
        <v>11</v>
      </c>
      <c r="J3" s="25" t="s">
        <v>12</v>
      </c>
      <c r="K3" s="25" t="s">
        <v>13</v>
      </c>
      <c r="M3" s="29"/>
      <c r="N3" s="29"/>
      <c r="O3" s="29"/>
      <c r="P3" s="29"/>
      <c r="Q3" s="29"/>
      <c r="R3" s="29"/>
      <c r="S3" s="29"/>
      <c r="T3" s="29"/>
      <c r="U3" s="29"/>
      <c r="V3" s="29"/>
      <c r="W3" s="29"/>
      <c r="X3" s="29"/>
      <c r="Y3" s="29"/>
      <c r="Z3" s="29"/>
      <c r="AA3" s="29"/>
      <c r="AB3" s="29"/>
      <c r="AC3" s="29"/>
      <c r="AD3" s="29"/>
      <c r="AE3" s="29"/>
      <c r="AF3" s="29"/>
      <c r="AG3" s="29"/>
      <c r="AH3" s="29"/>
      <c r="AI3" s="29"/>
      <c r="AJ3" s="34"/>
      <c r="AK3" s="34"/>
    </row>
    <row r="4" s="2" customFormat="true" ht="297" spans="1:37">
      <c r="A4" s="12">
        <v>1</v>
      </c>
      <c r="B4" s="14" t="s">
        <v>14</v>
      </c>
      <c r="C4" s="14" t="s">
        <v>15</v>
      </c>
      <c r="D4" s="14" t="s">
        <v>16</v>
      </c>
      <c r="E4" s="23" t="s">
        <v>17</v>
      </c>
      <c r="F4" s="23">
        <v>27500</v>
      </c>
      <c r="G4" s="23">
        <v>30.62</v>
      </c>
      <c r="H4" s="13">
        <f>F4*G4</f>
        <v>842050</v>
      </c>
      <c r="I4" s="23">
        <v>20000</v>
      </c>
      <c r="J4" s="26">
        <f>I4*G4</f>
        <v>612400</v>
      </c>
      <c r="K4" s="26">
        <f>H4-J4</f>
        <v>229650</v>
      </c>
      <c r="M4" s="30"/>
      <c r="N4" s="30">
        <v>17620</v>
      </c>
      <c r="O4" s="30" t="str">
        <f>_xlfn.DISPIMG("ID_AEC138FF6BA64E5D821BBC6C2B7673B3",1)</f>
        <v>=DISPIMG("ID_AEC138FF6BA64E5D821BBC6C2B7673B3",1)</v>
      </c>
      <c r="P4" s="30" t="str">
        <f>_xlfn.DISPIMG("ID_8B12795BE12B4CEC9201827AF99AD9EF",1)</f>
        <v>=DISPIMG("ID_8B12795BE12B4CEC9201827AF99AD9EF",1)</v>
      </c>
      <c r="Q4" s="30" t="s">
        <v>18</v>
      </c>
      <c r="R4" s="30">
        <v>23000</v>
      </c>
      <c r="S4" s="30"/>
      <c r="T4" s="30" t="str">
        <f>_xlfn.DISPIMG("ID_E274B3A9404345D4816E35A959104A57",1)</f>
        <v>=DISPIMG("ID_E274B3A9404345D4816E35A959104A57",1)</v>
      </c>
      <c r="U4" s="30" t="s">
        <v>19</v>
      </c>
      <c r="V4" s="30">
        <v>17500</v>
      </c>
      <c r="W4" s="30" t="str">
        <f>_xlfn.DISPIMG("ID_C54221CC2E9748408977D139EAD8C518",1)</f>
        <v>=DISPIMG("ID_C54221CC2E9748408977D139EAD8C518",1)</v>
      </c>
      <c r="X4" s="30" t="str">
        <f>_xlfn.DISPIMG("ID_502EAF2888AC408F9AA71A6F14616B4F",1)</f>
        <v>=DISPIMG("ID_502EAF2888AC408F9AA71A6F14616B4F",1)</v>
      </c>
      <c r="Y4" s="30" t="s">
        <v>20</v>
      </c>
      <c r="Z4" s="30">
        <v>21428</v>
      </c>
      <c r="AA4" s="30" t="str">
        <f>_xlfn.DISPIMG("ID_46042B3E40334985BC8C8A3A9C7ADA89",1)</f>
        <v>=DISPIMG("ID_46042B3E40334985BC8C8A3A9C7ADA89",1)</v>
      </c>
      <c r="AB4" s="30" t="str">
        <f>_xlfn.DISPIMG("ID_F6A179B2FDF049E297BD8C736A0ADDCC",1)</f>
        <v>=DISPIMG("ID_F6A179B2FDF049E297BD8C736A0ADDCC",1)</v>
      </c>
      <c r="AC4" s="30" t="s">
        <v>21</v>
      </c>
      <c r="AD4" s="30">
        <v>20000</v>
      </c>
      <c r="AE4" s="30" t="str">
        <f>_xlfn.DISPIMG("ID_C16A9B0D7D634601B12B2128D6037348",1)</f>
        <v>=DISPIMG("ID_C16A9B0D7D634601B12B2128D6037348",1)</v>
      </c>
      <c r="AF4" s="30" t="str">
        <f>_xlfn.DISPIMG("ID_68F7C9AF0B9C4632838782013F60038B",1)</f>
        <v>=DISPIMG("ID_68F7C9AF0B9C4632838782013F60038B",1)</v>
      </c>
      <c r="AG4" s="30" t="s">
        <v>22</v>
      </c>
      <c r="AH4" s="30">
        <v>23000</v>
      </c>
      <c r="AI4" s="30" t="str">
        <f>_xlfn.DISPIMG("ID_5C8331DED8074A57905B9FD48038EBE8",1)</f>
        <v>=DISPIMG("ID_5C8331DED8074A57905B9FD48038EBE8",1)</v>
      </c>
      <c r="AJ4" s="32" t="str">
        <f>_xlfn.DISPIMG("ID_1B53E4734E3643E3AA222CA6B3C710EC",1)</f>
        <v>=DISPIMG("ID_1B53E4734E3643E3AA222CA6B3C710EC",1)</v>
      </c>
      <c r="AK4" s="32" t="s">
        <v>23</v>
      </c>
    </row>
    <row r="5" s="2" customFormat="true" ht="75" customHeight="true" spans="1:37">
      <c r="A5" s="12">
        <v>2</v>
      </c>
      <c r="B5" s="14" t="s">
        <v>24</v>
      </c>
      <c r="C5" s="14" t="s">
        <v>25</v>
      </c>
      <c r="D5" s="14" t="s">
        <v>26</v>
      </c>
      <c r="E5" s="23" t="s">
        <v>17</v>
      </c>
      <c r="F5" s="23">
        <v>1300</v>
      </c>
      <c r="G5" s="23">
        <v>38.72</v>
      </c>
      <c r="H5" s="13">
        <f t="shared" ref="H5:H17" si="0">F5*G5</f>
        <v>50336</v>
      </c>
      <c r="I5" s="23">
        <v>1300</v>
      </c>
      <c r="J5" s="26">
        <f t="shared" ref="J5:J17" si="1">I5*G5</f>
        <v>50336</v>
      </c>
      <c r="K5" s="26">
        <f t="shared" ref="K5:K17" si="2">H5-J5</f>
        <v>0</v>
      </c>
      <c r="M5" s="30"/>
      <c r="N5" s="30">
        <v>2930</v>
      </c>
      <c r="O5" s="30" t="str">
        <f>_xlfn.DISPIMG("ID_AEC138FF6BA64E5D821BBC6C2B7673B3",1)</f>
        <v>=DISPIMG("ID_AEC138FF6BA64E5D821BBC6C2B7673B3",1)</v>
      </c>
      <c r="P5" s="30" t="str">
        <f>_xlfn.DISPIMG("ID_8B12795BE12B4CEC9201827AF99AD9EF",1)</f>
        <v>=DISPIMG("ID_8B12795BE12B4CEC9201827AF99AD9EF",1)</v>
      </c>
      <c r="Q5" s="30" t="s">
        <v>18</v>
      </c>
      <c r="R5" s="30">
        <v>1950</v>
      </c>
      <c r="S5" s="30" t="str">
        <f>_xlfn.DISPIMG("ID_C54221CC2E9748408977D139EAD8C518",1)</f>
        <v>=DISPIMG("ID_C54221CC2E9748408977D139EAD8C518",1)</v>
      </c>
      <c r="T5" s="30" t="str">
        <f>_xlfn.DISPIMG("ID_502EAF2888AC408F9AA71A6F14616B4F",1)</f>
        <v>=DISPIMG("ID_502EAF2888AC408F9AA71A6F14616B4F",1)</v>
      </c>
      <c r="U5" s="30" t="s">
        <v>20</v>
      </c>
      <c r="V5" s="30">
        <v>1000</v>
      </c>
      <c r="W5" s="30" t="str">
        <f>_xlfn.DISPIMG("ID_5C8331DED8074A57905B9FD48038EBE8",1)</f>
        <v>=DISPIMG("ID_5C8331DED8074A57905B9FD48038EBE8",1)</v>
      </c>
      <c r="X5" s="32" t="str">
        <f>_xlfn.DISPIMG("ID_1B53E4734E3643E3AA222CA6B3C710EC",1)</f>
        <v>=DISPIMG("ID_1B53E4734E3643E3AA222CA6B3C710EC",1)</v>
      </c>
      <c r="Y5" s="32" t="s">
        <v>23</v>
      </c>
      <c r="Z5" s="30">
        <v>600</v>
      </c>
      <c r="AA5" s="30" t="str">
        <f>_xlfn.DISPIMG("ID_C59A031115BF4BF39EA0A72873C449D2",1)</f>
        <v>=DISPIMG("ID_C59A031115BF4BF39EA0A72873C449D2",1)</v>
      </c>
      <c r="AB5" s="30" t="str">
        <f>_xlfn.DISPIMG("ID_6A12905E85F14BDAB00DBB1D39636F69",1)</f>
        <v>=DISPIMG("ID_6A12905E85F14BDAB00DBB1D39636F69",1)</v>
      </c>
      <c r="AC5" s="30" t="s">
        <v>27</v>
      </c>
      <c r="AD5" s="30"/>
      <c r="AE5" s="30"/>
      <c r="AF5" s="30"/>
      <c r="AG5" s="30"/>
      <c r="AH5" s="30"/>
      <c r="AI5" s="30"/>
      <c r="AJ5" s="32"/>
      <c r="AK5" s="32"/>
    </row>
    <row r="6" s="2" customFormat="true" ht="258" customHeight="true" spans="1:37">
      <c r="A6" s="12">
        <v>3</v>
      </c>
      <c r="B6" s="14" t="s">
        <v>28</v>
      </c>
      <c r="C6" s="14" t="s">
        <v>29</v>
      </c>
      <c r="D6" s="14" t="s">
        <v>30</v>
      </c>
      <c r="E6" s="23" t="s">
        <v>31</v>
      </c>
      <c r="F6" s="23">
        <v>23000</v>
      </c>
      <c r="G6" s="23">
        <v>1</v>
      </c>
      <c r="H6" s="13">
        <f t="shared" si="0"/>
        <v>23000</v>
      </c>
      <c r="I6" s="23">
        <v>9500</v>
      </c>
      <c r="J6" s="26">
        <f t="shared" si="1"/>
        <v>9500</v>
      </c>
      <c r="K6" s="26">
        <f t="shared" si="2"/>
        <v>13500</v>
      </c>
      <c r="M6" s="30"/>
      <c r="N6" s="30">
        <v>3000</v>
      </c>
      <c r="O6" s="30" t="str">
        <f>_xlfn.DISPIMG("ID_C59A031115BF4BF39EA0A72873C449D2",1)</f>
        <v>=DISPIMG("ID_C59A031115BF4BF39EA0A72873C449D2",1)</v>
      </c>
      <c r="P6" s="30" t="str">
        <f>_xlfn.DISPIMG("ID_786327E03B72484A86A31A45FB2830F4",1)</f>
        <v>=DISPIMG("ID_786327E03B72484A86A31A45FB2830F4",1)</v>
      </c>
      <c r="Q6" s="30" t="s">
        <v>27</v>
      </c>
      <c r="R6" s="30">
        <v>4500</v>
      </c>
      <c r="S6" s="30" t="str">
        <f>_xlfn.DISPIMG("ID_0C5769778EC743A7996B0311EEACE701",1)</f>
        <v>=DISPIMG("ID_0C5769778EC743A7996B0311EEACE701",1)</v>
      </c>
      <c r="T6" s="30" t="str">
        <f>_xlfn.DISPIMG("ID_3BD8C2CD9E83455CB59425BD2F8F7059",1)</f>
        <v>=DISPIMG("ID_3BD8C2CD9E83455CB59425BD2F8F7059",1)</v>
      </c>
      <c r="U6" s="30" t="s">
        <v>32</v>
      </c>
      <c r="V6" s="30">
        <v>9500</v>
      </c>
      <c r="W6" s="30" t="str">
        <f>_xlfn.DISPIMG("ID_6477ADF394FC41F7A3E0AA7D79E14A14",1)</f>
        <v>=DISPIMG("ID_6477ADF394FC41F7A3E0AA7D79E14A14",1)</v>
      </c>
      <c r="X6" s="30" t="str">
        <f>_xlfn.DISPIMG("ID_6D44851541644031A308A831C7632AF0",1)</f>
        <v>=DISPIMG("ID_6D44851541644031A308A831C7632AF0",1)</v>
      </c>
      <c r="Y6" s="30" t="s">
        <v>33</v>
      </c>
      <c r="Z6" s="30">
        <v>4000</v>
      </c>
      <c r="AA6" s="30" t="str">
        <f>_xlfn.DISPIMG("ID_7971D525DC144747839A81552167DCA3",1)</f>
        <v>=DISPIMG("ID_7971D525DC144747839A81552167DCA3",1)</v>
      </c>
      <c r="AB6" s="30" t="str">
        <f>_xlfn.DISPIMG("ID_81EACF24F2D44977B4CC39FC291B12FE",1)</f>
        <v>=DISPIMG("ID_81EACF24F2D44977B4CC39FC291B12FE",1)</v>
      </c>
      <c r="AC6" s="30" t="s">
        <v>34</v>
      </c>
      <c r="AD6" s="30">
        <v>7379</v>
      </c>
      <c r="AE6" s="30" t="str">
        <f>_xlfn.DISPIMG("ID_5C8E680D451F4DB89B034B07EAA32908",1)</f>
        <v>=DISPIMG("ID_5C8E680D451F4DB89B034B07EAA32908",1)</v>
      </c>
      <c r="AF6" s="30" t="str">
        <f>_xlfn.DISPIMG("ID_3B4CE0529C5A466BB913EB6798653EFB",1)</f>
        <v>=DISPIMG("ID_3B4CE0529C5A466BB913EB6798653EFB",1)</v>
      </c>
      <c r="AG6" s="30" t="s">
        <v>35</v>
      </c>
      <c r="AH6" s="30"/>
      <c r="AI6" s="30"/>
      <c r="AJ6" s="32"/>
      <c r="AK6" s="32"/>
    </row>
    <row r="7" s="2" customFormat="true" ht="408" customHeight="true" spans="1:37">
      <c r="A7" s="12">
        <v>4</v>
      </c>
      <c r="B7" s="14" t="s">
        <v>36</v>
      </c>
      <c r="C7" s="14" t="s">
        <v>37</v>
      </c>
      <c r="D7" s="14" t="s">
        <v>38</v>
      </c>
      <c r="E7" s="23" t="s">
        <v>31</v>
      </c>
      <c r="F7" s="23">
        <v>28000</v>
      </c>
      <c r="G7" s="23">
        <v>1</v>
      </c>
      <c r="H7" s="13">
        <f t="shared" si="0"/>
        <v>28000</v>
      </c>
      <c r="I7" s="23">
        <v>27855</v>
      </c>
      <c r="J7" s="26">
        <f t="shared" si="1"/>
        <v>27855</v>
      </c>
      <c r="K7" s="26">
        <f t="shared" si="2"/>
        <v>145</v>
      </c>
      <c r="M7" s="30"/>
      <c r="N7" s="30">
        <v>19400</v>
      </c>
      <c r="O7" s="30" t="str">
        <f>_xlfn.DISPIMG("ID_5A30CD61EF2F4650A3037E5CF47A9098",1)</f>
        <v>=DISPIMG("ID_5A30CD61EF2F4650A3037E5CF47A9098",1)</v>
      </c>
      <c r="P7" s="30" t="str">
        <f>_xlfn.DISPIMG("ID_D68F74CE2E784ECBB8D991E1C030B6E0",1)</f>
        <v>=DISPIMG("ID_D68F74CE2E784ECBB8D991E1C030B6E0",1)</v>
      </c>
      <c r="Q7" s="30" t="s">
        <v>39</v>
      </c>
      <c r="R7" s="30">
        <v>27855</v>
      </c>
      <c r="S7" s="30" t="str">
        <f>_xlfn.DISPIMG("ID_7971D525DC144747839A81552167DCA3",1)</f>
        <v>=DISPIMG("ID_7971D525DC144747839A81552167DCA3",1)</v>
      </c>
      <c r="T7" s="30" t="str">
        <f>_xlfn.DISPIMG("ID_81EACF24F2D44977B4CC39FC291B12FE",1)</f>
        <v>=DISPIMG("ID_81EACF24F2D44977B4CC39FC291B12FE",1)</v>
      </c>
      <c r="U7" s="30" t="s">
        <v>34</v>
      </c>
      <c r="V7" s="30"/>
      <c r="W7" s="30"/>
      <c r="X7" s="30"/>
      <c r="Y7" s="30"/>
      <c r="Z7" s="30"/>
      <c r="AA7" s="30"/>
      <c r="AB7" s="30"/>
      <c r="AC7" s="30"/>
      <c r="AD7" s="30"/>
      <c r="AE7" s="30"/>
      <c r="AF7" s="30"/>
      <c r="AG7" s="30"/>
      <c r="AH7" s="30"/>
      <c r="AI7" s="30"/>
      <c r="AJ7" s="32"/>
      <c r="AK7" s="32"/>
    </row>
    <row r="8" s="2" customFormat="true" ht="214" customHeight="true" spans="1:37">
      <c r="A8" s="12">
        <v>5</v>
      </c>
      <c r="B8" s="14" t="s">
        <v>40</v>
      </c>
      <c r="C8" s="14" t="s">
        <v>41</v>
      </c>
      <c r="D8" s="14" t="s">
        <v>42</v>
      </c>
      <c r="E8" s="23" t="s">
        <v>31</v>
      </c>
      <c r="F8" s="23">
        <v>12800</v>
      </c>
      <c r="G8" s="23">
        <v>2</v>
      </c>
      <c r="H8" s="13">
        <f t="shared" si="0"/>
        <v>25600</v>
      </c>
      <c r="I8" s="23">
        <v>9400</v>
      </c>
      <c r="J8" s="26">
        <f t="shared" si="1"/>
        <v>18800</v>
      </c>
      <c r="K8" s="26">
        <f t="shared" si="2"/>
        <v>6800</v>
      </c>
      <c r="M8" s="30"/>
      <c r="N8" s="30">
        <v>9400</v>
      </c>
      <c r="O8" s="30" t="str">
        <f>_xlfn.DISPIMG("ID_5A30CD61EF2F4650A3037E5CF47A9098",1)</f>
        <v>=DISPIMG("ID_5A30CD61EF2F4650A3037E5CF47A9098",1)</v>
      </c>
      <c r="P8" s="30" t="str">
        <f>_xlfn.DISPIMG("ID_1D995122CF7240FBA9505B016F3A13B4",1)</f>
        <v>=DISPIMG("ID_1D995122CF7240FBA9505B016F3A13B4",1)</v>
      </c>
      <c r="Q8" s="30" t="s">
        <v>39</v>
      </c>
      <c r="R8" s="30"/>
      <c r="S8" s="30"/>
      <c r="T8" s="30"/>
      <c r="U8" s="30"/>
      <c r="V8" s="30"/>
      <c r="W8" s="30"/>
      <c r="X8" s="30"/>
      <c r="Y8" s="30"/>
      <c r="Z8" s="30"/>
      <c r="AA8" s="30"/>
      <c r="AB8" s="30"/>
      <c r="AC8" s="30"/>
      <c r="AD8" s="30"/>
      <c r="AE8" s="30"/>
      <c r="AF8" s="30"/>
      <c r="AG8" s="30"/>
      <c r="AH8" s="30"/>
      <c r="AI8" s="30"/>
      <c r="AJ8" s="32"/>
      <c r="AK8" s="32"/>
    </row>
    <row r="9" s="2" customFormat="true" ht="245" customHeight="true" spans="1:37">
      <c r="A9" s="12">
        <v>6</v>
      </c>
      <c r="B9" s="14" t="s">
        <v>43</v>
      </c>
      <c r="C9" s="14" t="s">
        <v>44</v>
      </c>
      <c r="D9" s="14" t="s">
        <v>45</v>
      </c>
      <c r="E9" s="23" t="s">
        <v>31</v>
      </c>
      <c r="F9" s="23">
        <v>10260</v>
      </c>
      <c r="G9" s="23">
        <v>1</v>
      </c>
      <c r="H9" s="13">
        <f t="shared" si="0"/>
        <v>10260</v>
      </c>
      <c r="I9" s="23">
        <v>9400</v>
      </c>
      <c r="J9" s="26">
        <f t="shared" si="1"/>
        <v>9400</v>
      </c>
      <c r="K9" s="26">
        <f t="shared" si="2"/>
        <v>860</v>
      </c>
      <c r="M9" s="30"/>
      <c r="N9" s="30"/>
      <c r="O9" s="30"/>
      <c r="P9" s="30"/>
      <c r="Q9" s="30"/>
      <c r="R9" s="30"/>
      <c r="S9" s="30"/>
      <c r="T9" s="30"/>
      <c r="U9" s="30"/>
      <c r="V9" s="30"/>
      <c r="W9" s="30"/>
      <c r="X9" s="30"/>
      <c r="Y9" s="30"/>
      <c r="Z9" s="30"/>
      <c r="AA9" s="30"/>
      <c r="AB9" s="30"/>
      <c r="AC9" s="30"/>
      <c r="AD9" s="30"/>
      <c r="AE9" s="30"/>
      <c r="AF9" s="30"/>
      <c r="AG9" s="30"/>
      <c r="AH9" s="30"/>
      <c r="AI9" s="30"/>
      <c r="AJ9" s="32"/>
      <c r="AK9" s="32"/>
    </row>
    <row r="10" s="2" customFormat="true" ht="312" customHeight="true" spans="1:37">
      <c r="A10" s="12">
        <v>7</v>
      </c>
      <c r="B10" s="14" t="s">
        <v>46</v>
      </c>
      <c r="C10" s="14" t="s">
        <v>47</v>
      </c>
      <c r="D10" s="14" t="s">
        <v>48</v>
      </c>
      <c r="E10" s="23" t="s">
        <v>31</v>
      </c>
      <c r="F10" s="23">
        <v>13200</v>
      </c>
      <c r="G10" s="23">
        <v>2</v>
      </c>
      <c r="H10" s="13">
        <f t="shared" si="0"/>
        <v>26400</v>
      </c>
      <c r="I10" s="23">
        <v>9400</v>
      </c>
      <c r="J10" s="26">
        <f t="shared" si="1"/>
        <v>18800</v>
      </c>
      <c r="K10" s="26">
        <f t="shared" si="2"/>
        <v>7600</v>
      </c>
      <c r="M10" s="30"/>
      <c r="N10" s="30">
        <v>9400</v>
      </c>
      <c r="O10" s="30" t="str">
        <f>_xlfn.DISPIMG("ID_5A30CD61EF2F4650A3037E5CF47A9098",1)</f>
        <v>=DISPIMG("ID_5A30CD61EF2F4650A3037E5CF47A9098",1)</v>
      </c>
      <c r="P10" s="30" t="str">
        <f>_xlfn.DISPIMG("ID_82F9A822100D482DBECD311990508FEF",1)</f>
        <v>=DISPIMG("ID_82F9A822100D482DBECD311990508FEF",1)</v>
      </c>
      <c r="Q10" s="30" t="s">
        <v>39</v>
      </c>
      <c r="R10" s="30"/>
      <c r="S10" s="30"/>
      <c r="T10" s="30"/>
      <c r="U10" s="30"/>
      <c r="V10" s="30"/>
      <c r="W10" s="30"/>
      <c r="X10" s="30"/>
      <c r="Y10" s="30"/>
      <c r="Z10" s="30"/>
      <c r="AA10" s="30"/>
      <c r="AB10" s="30"/>
      <c r="AC10" s="30"/>
      <c r="AD10" s="30"/>
      <c r="AE10" s="30"/>
      <c r="AF10" s="30"/>
      <c r="AG10" s="30"/>
      <c r="AH10" s="30"/>
      <c r="AI10" s="30"/>
      <c r="AJ10" s="32"/>
      <c r="AK10" s="32"/>
    </row>
    <row r="11" s="2" customFormat="true" ht="409.5" spans="1:37">
      <c r="A11" s="12">
        <v>8</v>
      </c>
      <c r="B11" s="14" t="s">
        <v>49</v>
      </c>
      <c r="C11" s="14" t="s">
        <v>50</v>
      </c>
      <c r="D11" s="14" t="s">
        <v>51</v>
      </c>
      <c r="E11" s="23" t="s">
        <v>31</v>
      </c>
      <c r="F11" s="23">
        <v>6800</v>
      </c>
      <c r="G11" s="23">
        <v>8</v>
      </c>
      <c r="H11" s="13">
        <f t="shared" si="0"/>
        <v>54400</v>
      </c>
      <c r="I11" s="23">
        <v>4100</v>
      </c>
      <c r="J11" s="26">
        <f t="shared" si="1"/>
        <v>32800</v>
      </c>
      <c r="K11" s="26">
        <f t="shared" si="2"/>
        <v>21600</v>
      </c>
      <c r="M11" s="30"/>
      <c r="N11" s="30">
        <v>4100</v>
      </c>
      <c r="O11" s="30" t="str">
        <f>_xlfn.DISPIMG("ID_98859C83659649F6949C5AB30ECEDE9E",1)</f>
        <v>=DISPIMG("ID_98859C83659649F6949C5AB30ECEDE9E",1)</v>
      </c>
      <c r="P11" s="30" t="str">
        <f>_xlfn.DISPIMG("ID_B401F075CF5B414E84270DB78A87E2FD",1)</f>
        <v>=DISPIMG("ID_B401F075CF5B414E84270DB78A87E2FD",1)</v>
      </c>
      <c r="Q11" s="30" t="s">
        <v>52</v>
      </c>
      <c r="R11" s="30">
        <v>3485</v>
      </c>
      <c r="S11" s="30" t="str">
        <f>_xlfn.DISPIMG("ID_D4699351D39240409CC090A689196E98",1)</f>
        <v>=DISPIMG("ID_D4699351D39240409CC090A689196E98",1)</v>
      </c>
      <c r="T11" s="30" t="str">
        <f>_xlfn.DISPIMG("ID_37A6C8E7D0054F5FA587E55C2BF4BEB3",1)</f>
        <v>=DISPIMG("ID_37A6C8E7D0054F5FA587E55C2BF4BEB3",1)</v>
      </c>
      <c r="U11" s="30" t="s">
        <v>53</v>
      </c>
      <c r="V11" s="30">
        <v>4665</v>
      </c>
      <c r="W11" s="30" t="str">
        <f>_xlfn.DISPIMG("ID_5C8E680D451F4DB89B034B07EAA32908",1)</f>
        <v>=DISPIMG("ID_5C8E680D451F4DB89B034B07EAA32908",1)</v>
      </c>
      <c r="X11" s="30" t="str">
        <f>_xlfn.DISPIMG("ID_3B4CE0529C5A466BB913EB6798653EFB",1)</f>
        <v>=DISPIMG("ID_3B4CE0529C5A466BB913EB6798653EFB",1)</v>
      </c>
      <c r="Y11" s="30" t="s">
        <v>35</v>
      </c>
      <c r="Z11" s="30"/>
      <c r="AA11" s="30"/>
      <c r="AB11" s="30"/>
      <c r="AC11" s="30"/>
      <c r="AD11" s="30"/>
      <c r="AE11" s="30"/>
      <c r="AF11" s="30"/>
      <c r="AG11" s="30"/>
      <c r="AH11" s="30"/>
      <c r="AI11" s="30"/>
      <c r="AJ11" s="32"/>
      <c r="AK11" s="32"/>
    </row>
    <row r="12" s="2" customFormat="true" ht="202.5" spans="1:37">
      <c r="A12" s="12">
        <v>9</v>
      </c>
      <c r="B12" s="14" t="s">
        <v>54</v>
      </c>
      <c r="C12" s="14" t="s">
        <v>55</v>
      </c>
      <c r="D12" s="14" t="s">
        <v>56</v>
      </c>
      <c r="E12" s="23" t="s">
        <v>57</v>
      </c>
      <c r="F12" s="23">
        <v>30500</v>
      </c>
      <c r="G12" s="23">
        <v>1</v>
      </c>
      <c r="H12" s="13">
        <f t="shared" si="0"/>
        <v>30500</v>
      </c>
      <c r="I12" s="23">
        <v>25000</v>
      </c>
      <c r="J12" s="26">
        <f t="shared" si="1"/>
        <v>25000</v>
      </c>
      <c r="K12" s="26">
        <f t="shared" si="2"/>
        <v>5500</v>
      </c>
      <c r="M12" s="30"/>
      <c r="N12" s="30">
        <v>25000</v>
      </c>
      <c r="O12" s="30" t="str">
        <f>_xlfn.DISPIMG("ID_C54221CC2E9748408977D139EAD8C518",1)</f>
        <v>=DISPIMG("ID_C54221CC2E9748408977D139EAD8C518",1)</v>
      </c>
      <c r="P12" s="30" t="str">
        <f>_xlfn.DISPIMG("ID_502EAF2888AC408F9AA71A6F14616B4F",1)</f>
        <v>=DISPIMG("ID_502EAF2888AC408F9AA71A6F14616B4F",1)</v>
      </c>
      <c r="Q12" s="30" t="s">
        <v>20</v>
      </c>
      <c r="R12" s="30">
        <v>15000</v>
      </c>
      <c r="S12" s="30" t="str">
        <f>_xlfn.DISPIMG("ID_5A30CD61EF2F4650A3037E5CF47A9098",1)</f>
        <v>=DISPIMG("ID_5A30CD61EF2F4650A3037E5CF47A9098",1)</v>
      </c>
      <c r="T12" s="30" t="str">
        <f>_xlfn.DISPIMG("ID_9A01FB6FAF2A4F7C8CCE7424AF523779",1)</f>
        <v>=DISPIMG("ID_9A01FB6FAF2A4F7C8CCE7424AF523779",1)</v>
      </c>
      <c r="U12" s="30" t="s">
        <v>39</v>
      </c>
      <c r="V12" s="30">
        <v>3764</v>
      </c>
      <c r="W12" s="30" t="str">
        <f>_xlfn.DISPIMG("ID_A6BE2850CA6F4B16B82BC85EF883F852",1)</f>
        <v>=DISPIMG("ID_A6BE2850CA6F4B16B82BC85EF883F852",1)</v>
      </c>
      <c r="X12" s="30" t="str">
        <f>_xlfn.DISPIMG("ID_16B5DB76D0E241ACB87872EF444A784B",1)</f>
        <v>=DISPIMG("ID_16B5DB76D0E241ACB87872EF444A784B",1)</v>
      </c>
      <c r="Y12" s="30" t="s">
        <v>58</v>
      </c>
      <c r="Z12" s="30"/>
      <c r="AA12" s="30"/>
      <c r="AB12" s="30"/>
      <c r="AC12" s="30"/>
      <c r="AD12" s="30"/>
      <c r="AE12" s="30"/>
      <c r="AF12" s="30"/>
      <c r="AG12" s="30"/>
      <c r="AH12" s="30"/>
      <c r="AI12" s="30"/>
      <c r="AJ12" s="32"/>
      <c r="AK12" s="32"/>
    </row>
    <row r="13" s="2" customFormat="true" ht="409.5" spans="1:37">
      <c r="A13" s="12">
        <v>10</v>
      </c>
      <c r="B13" s="14" t="s">
        <v>59</v>
      </c>
      <c r="C13" s="14" t="s">
        <v>60</v>
      </c>
      <c r="D13" s="14" t="s">
        <v>61</v>
      </c>
      <c r="E13" s="23" t="s">
        <v>57</v>
      </c>
      <c r="F13" s="23">
        <v>53884</v>
      </c>
      <c r="G13" s="23">
        <v>1</v>
      </c>
      <c r="H13" s="13">
        <f t="shared" si="0"/>
        <v>53884</v>
      </c>
      <c r="I13" s="23">
        <v>53884</v>
      </c>
      <c r="J13" s="26">
        <f t="shared" si="1"/>
        <v>53884</v>
      </c>
      <c r="K13" s="26">
        <f t="shared" si="2"/>
        <v>0</v>
      </c>
      <c r="M13" s="30"/>
      <c r="N13" s="30">
        <f>20500+30080+800</f>
        <v>51380</v>
      </c>
      <c r="O13" s="30" t="str">
        <f>_xlfn.DISPIMG("ID_971F480F0C6648F286353F1C258739B8",1)</f>
        <v>=DISPIMG("ID_971F480F0C6648F286353F1C258739B8",1)</v>
      </c>
      <c r="P13" s="30" t="str">
        <f>_xlfn.DISPIMG("ID_BBC7905084B44B1AAE6B75821CAED87D",1)</f>
        <v>=DISPIMG("ID_BBC7905084B44B1AAE6B75821CAED87D",1)</v>
      </c>
      <c r="Q13" s="30" t="s">
        <v>62</v>
      </c>
      <c r="R13" s="30">
        <v>41950</v>
      </c>
      <c r="S13" s="30" t="str">
        <f>_xlfn.DISPIMG("ID_445C40C9E36346E38FE9CCEBB876AC26",1)</f>
        <v>=DISPIMG("ID_445C40C9E36346E38FE9CCEBB876AC26",1)</v>
      </c>
      <c r="T13" s="30" t="s">
        <v>63</v>
      </c>
      <c r="U13" s="30"/>
      <c r="V13" s="30"/>
      <c r="W13" s="30"/>
      <c r="X13" s="30"/>
      <c r="Y13" s="30"/>
      <c r="Z13" s="30"/>
      <c r="AA13" s="30"/>
      <c r="AB13" s="30"/>
      <c r="AC13" s="30"/>
      <c r="AD13" s="30"/>
      <c r="AE13" s="30"/>
      <c r="AF13" s="30"/>
      <c r="AG13" s="30"/>
      <c r="AH13" s="30"/>
      <c r="AI13" s="30"/>
      <c r="AJ13" s="32"/>
      <c r="AK13" s="32"/>
    </row>
    <row r="14" s="2" customFormat="true" ht="108" spans="1:37">
      <c r="A14" s="12">
        <v>11</v>
      </c>
      <c r="B14" s="14" t="s">
        <v>64</v>
      </c>
      <c r="C14" s="15" t="s">
        <v>65</v>
      </c>
      <c r="D14" s="14" t="s">
        <v>66</v>
      </c>
      <c r="E14" s="23" t="s">
        <v>17</v>
      </c>
      <c r="F14" s="23">
        <v>300</v>
      </c>
      <c r="G14" s="23">
        <v>38.72</v>
      </c>
      <c r="H14" s="13">
        <f t="shared" si="0"/>
        <v>11616</v>
      </c>
      <c r="I14" s="23">
        <v>300</v>
      </c>
      <c r="J14" s="26">
        <f t="shared" si="1"/>
        <v>11616</v>
      </c>
      <c r="K14" s="26">
        <f t="shared" si="2"/>
        <v>0</v>
      </c>
      <c r="M14" s="30"/>
      <c r="N14" s="30"/>
      <c r="O14" s="30"/>
      <c r="P14" s="30"/>
      <c r="Q14" s="30"/>
      <c r="R14" s="30"/>
      <c r="S14" s="30"/>
      <c r="T14" s="30"/>
      <c r="U14" s="30"/>
      <c r="V14" s="30"/>
      <c r="W14" s="30"/>
      <c r="X14" s="30"/>
      <c r="Y14" s="30"/>
      <c r="Z14" s="30"/>
      <c r="AA14" s="30"/>
      <c r="AB14" s="30"/>
      <c r="AC14" s="30"/>
      <c r="AD14" s="30"/>
      <c r="AE14" s="30"/>
      <c r="AF14" s="30"/>
      <c r="AG14" s="30"/>
      <c r="AH14" s="30"/>
      <c r="AI14" s="30"/>
      <c r="AJ14" s="32"/>
      <c r="AK14" s="32"/>
    </row>
    <row r="15" s="2" customFormat="true" ht="94.5" spans="1:37">
      <c r="A15" s="12">
        <v>12</v>
      </c>
      <c r="B15" s="14" t="s">
        <v>67</v>
      </c>
      <c r="C15" s="15" t="s">
        <v>65</v>
      </c>
      <c r="D15" s="14" t="s">
        <v>68</v>
      </c>
      <c r="E15" s="23" t="s">
        <v>69</v>
      </c>
      <c r="F15" s="23">
        <v>19000</v>
      </c>
      <c r="G15" s="23">
        <v>1</v>
      </c>
      <c r="H15" s="13">
        <f t="shared" si="0"/>
        <v>19000</v>
      </c>
      <c r="I15" s="23">
        <v>15000</v>
      </c>
      <c r="J15" s="26">
        <f t="shared" si="1"/>
        <v>15000</v>
      </c>
      <c r="K15" s="26">
        <f t="shared" si="2"/>
        <v>4000</v>
      </c>
      <c r="M15" s="30"/>
      <c r="N15" s="30">
        <v>8650</v>
      </c>
      <c r="O15" s="30" t="str">
        <f>_xlfn.DISPIMG("ID_AEC138FF6BA64E5D821BBC6C2B7673B3",1)</f>
        <v>=DISPIMG("ID_AEC138FF6BA64E5D821BBC6C2B7673B3",1)</v>
      </c>
      <c r="P15" s="30" t="str">
        <f>_xlfn.DISPIMG("ID_D690619FFAAB43EDA2D490ACD8726406",1)</f>
        <v>=DISPIMG("ID_D690619FFAAB43EDA2D490ACD8726406",1)</v>
      </c>
      <c r="Q15" s="30" t="s">
        <v>18</v>
      </c>
      <c r="R15" s="30"/>
      <c r="S15" s="30"/>
      <c r="T15" s="30"/>
      <c r="U15" s="30"/>
      <c r="V15" s="30"/>
      <c r="W15" s="30"/>
      <c r="X15" s="30"/>
      <c r="Y15" s="30"/>
      <c r="Z15" s="30"/>
      <c r="AA15" s="30"/>
      <c r="AB15" s="30"/>
      <c r="AC15" s="30"/>
      <c r="AD15" s="30"/>
      <c r="AE15" s="30"/>
      <c r="AF15" s="30"/>
      <c r="AG15" s="30"/>
      <c r="AH15" s="30"/>
      <c r="AI15" s="30"/>
      <c r="AJ15" s="32"/>
      <c r="AK15" s="32"/>
    </row>
    <row r="16" s="2" customFormat="true" ht="27" spans="1:37">
      <c r="A16" s="12">
        <v>13</v>
      </c>
      <c r="B16" s="14" t="s">
        <v>70</v>
      </c>
      <c r="C16" s="15" t="s">
        <v>65</v>
      </c>
      <c r="D16" s="14" t="s">
        <v>71</v>
      </c>
      <c r="E16" s="23" t="s">
        <v>69</v>
      </c>
      <c r="F16" s="23">
        <v>23000</v>
      </c>
      <c r="G16" s="23">
        <v>1</v>
      </c>
      <c r="H16" s="13">
        <f t="shared" si="0"/>
        <v>23000</v>
      </c>
      <c r="I16" s="23">
        <v>23000</v>
      </c>
      <c r="J16" s="26">
        <f t="shared" si="1"/>
        <v>23000</v>
      </c>
      <c r="K16" s="26">
        <f t="shared" si="2"/>
        <v>0</v>
      </c>
      <c r="M16" s="30"/>
      <c r="N16" s="30"/>
      <c r="O16" s="30"/>
      <c r="P16" s="30"/>
      <c r="Q16" s="30"/>
      <c r="R16" s="30"/>
      <c r="S16" s="30"/>
      <c r="T16" s="30"/>
      <c r="U16" s="30"/>
      <c r="V16" s="30"/>
      <c r="W16" s="30"/>
      <c r="X16" s="30"/>
      <c r="Y16" s="30"/>
      <c r="Z16" s="30"/>
      <c r="AA16" s="30"/>
      <c r="AB16" s="30"/>
      <c r="AC16" s="30"/>
      <c r="AD16" s="30"/>
      <c r="AE16" s="30"/>
      <c r="AF16" s="30"/>
      <c r="AG16" s="30"/>
      <c r="AH16" s="30"/>
      <c r="AI16" s="30"/>
      <c r="AJ16" s="32"/>
      <c r="AK16" s="32"/>
    </row>
    <row r="17" s="2" customFormat="true" ht="27" spans="1:37">
      <c r="A17" s="12">
        <v>14</v>
      </c>
      <c r="B17" s="14" t="s">
        <v>72</v>
      </c>
      <c r="C17" s="15" t="s">
        <v>65</v>
      </c>
      <c r="D17" s="14" t="s">
        <v>73</v>
      </c>
      <c r="E17" s="23" t="s">
        <v>69</v>
      </c>
      <c r="F17" s="23">
        <v>5379</v>
      </c>
      <c r="G17" s="23">
        <v>1</v>
      </c>
      <c r="H17" s="13">
        <f t="shared" si="0"/>
        <v>5379</v>
      </c>
      <c r="I17" s="23">
        <v>5379</v>
      </c>
      <c r="J17" s="26">
        <f t="shared" si="1"/>
        <v>5379</v>
      </c>
      <c r="K17" s="26">
        <f t="shared" si="2"/>
        <v>0</v>
      </c>
      <c r="M17" s="30"/>
      <c r="N17" s="30"/>
      <c r="O17" s="30"/>
      <c r="P17" s="30"/>
      <c r="Q17" s="30"/>
      <c r="R17" s="30"/>
      <c r="S17" s="30"/>
      <c r="T17" s="30"/>
      <c r="U17" s="30"/>
      <c r="V17" s="30"/>
      <c r="W17" s="30"/>
      <c r="X17" s="30"/>
      <c r="Y17" s="30"/>
      <c r="Z17" s="30"/>
      <c r="AA17" s="30"/>
      <c r="AB17" s="30"/>
      <c r="AC17" s="30"/>
      <c r="AD17" s="30"/>
      <c r="AE17" s="30"/>
      <c r="AF17" s="30"/>
      <c r="AG17" s="30"/>
      <c r="AH17" s="30"/>
      <c r="AI17" s="30"/>
      <c r="AJ17" s="32"/>
      <c r="AK17" s="32"/>
    </row>
    <row r="18" s="3" customFormat="true" ht="20" customHeight="true" spans="1:37">
      <c r="A18" s="16" t="s">
        <v>74</v>
      </c>
      <c r="B18" s="16"/>
      <c r="C18" s="16"/>
      <c r="D18" s="16"/>
      <c r="E18" s="16"/>
      <c r="F18" s="24"/>
      <c r="G18" s="16"/>
      <c r="H18" s="24">
        <f t="shared" ref="H18:K18" si="3">SUM(H4:H17)</f>
        <v>1203425</v>
      </c>
      <c r="I18" s="24"/>
      <c r="J18" s="24">
        <f t="shared" si="3"/>
        <v>913770</v>
      </c>
      <c r="K18" s="24">
        <f t="shared" si="3"/>
        <v>289655</v>
      </c>
      <c r="M18" s="31"/>
      <c r="N18" s="31"/>
      <c r="O18" s="31"/>
      <c r="P18" s="31"/>
      <c r="Q18" s="31"/>
      <c r="R18" s="31"/>
      <c r="S18" s="31"/>
      <c r="T18" s="31"/>
      <c r="U18" s="31"/>
      <c r="V18" s="31"/>
      <c r="W18" s="31"/>
      <c r="X18" s="31"/>
      <c r="Y18" s="31"/>
      <c r="Z18" s="31"/>
      <c r="AA18" s="31"/>
      <c r="AB18" s="31"/>
      <c r="AC18" s="31"/>
      <c r="AD18" s="31"/>
      <c r="AE18" s="31"/>
      <c r="AF18" s="31"/>
      <c r="AG18" s="31"/>
      <c r="AH18" s="31"/>
      <c r="AI18" s="31"/>
      <c r="AJ18" s="35"/>
      <c r="AK18" s="35"/>
    </row>
    <row r="19" s="3" customFormat="true" spans="1:37">
      <c r="A19" s="17" t="s">
        <v>75</v>
      </c>
      <c r="B19" s="17"/>
      <c r="C19" s="17"/>
      <c r="D19" s="17"/>
      <c r="E19" s="17"/>
      <c r="F19" s="17"/>
      <c r="G19" s="17"/>
      <c r="H19" s="17"/>
      <c r="I19" s="17"/>
      <c r="J19" s="17"/>
      <c r="K19" s="17"/>
      <c r="M19" s="7"/>
      <c r="N19" s="7"/>
      <c r="O19" s="7"/>
      <c r="P19" s="7"/>
      <c r="Q19" s="7"/>
      <c r="R19" s="7"/>
      <c r="S19" s="7"/>
      <c r="T19" s="7"/>
      <c r="U19" s="7"/>
      <c r="V19" s="7"/>
      <c r="W19" s="7"/>
      <c r="X19" s="7"/>
      <c r="Y19" s="7"/>
      <c r="Z19" s="7"/>
      <c r="AA19" s="7"/>
      <c r="AB19" s="7"/>
      <c r="AC19" s="7"/>
      <c r="AD19" s="7"/>
      <c r="AE19" s="7"/>
      <c r="AF19" s="7"/>
      <c r="AG19" s="7"/>
      <c r="AH19" s="7"/>
      <c r="AI19" s="7"/>
      <c r="AJ19" s="36"/>
      <c r="AK19" s="36"/>
    </row>
    <row r="21" spans="11:11">
      <c r="K21" s="27">
        <f>K18/H18</f>
        <v>0.240692191038079</v>
      </c>
    </row>
  </sheetData>
  <mergeCells count="5">
    <mergeCell ref="A1:K1"/>
    <mergeCell ref="A2:D2"/>
    <mergeCell ref="E2:H2"/>
    <mergeCell ref="A18:E18"/>
    <mergeCell ref="A19:H19"/>
  </mergeCells>
  <printOptions horizontalCentered="true"/>
  <pageMargins left="0.393055555555556" right="0.354166666666667" top="0.984027777777778" bottom="0.747916666666667" header="0.511805555555556" footer="0.511805555555556"/>
  <pageSetup paperSize="9" scale="86"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adm</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xiongjunhong 00223042</dc:creator>
  <cp:lastModifiedBy>gxxc</cp:lastModifiedBy>
  <dcterms:created xsi:type="dcterms:W3CDTF">1996-12-17T17:32:00Z</dcterms:created>
  <cp:lastPrinted>2022-01-24T23:44:00Z</cp:lastPrinted>
  <dcterms:modified xsi:type="dcterms:W3CDTF">2025-03-13T16:49:43Z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(3)YosBaJtYpxVIxVFfRaJRHkYb9Z5Uc+fARZbiy4BTGnzi7cG1KjNfOhaFXQi/Yk7WptQeYudk
03PocDh2JYAXqPDwRUW4nXHH0v2QPycQqtZ/6N8w3jX/+QDU/VdmaYy7rPCtTxr7RkHYY7ME
7A1dXs1iQoUDkVKH4qiTGZOiXuPDNMXSqKQKPZ4z9iaRPWHLIfKlmhQaaUvsxntL</vt:lpwstr>
  </property>
  <property fmtid="{D5CDD505-2E9C-101B-9397-08002B2CF9AE}" pid="3" name="_2015_ms_pID_7253431">
    <vt:lpwstr>F3CMxSY6S29oYnYkj9t3gSg27DSsst0ZqVvniXpDjJV6O+IxsHVkQr
y4NYvbl52WKf+ChrtHrIPByAzdd+9jEmQvuhJLkVlyVN+jeQqfcTznPll0gQ7DkbWbKclcaa
oh0mjnVhJpkAi+7FI8Fq8chiUSAzjHNJKOm3stKUrXBFFSS0+4Xxq7inIKaGjVALFR6RziiT</vt:lpwstr>
  </property>
  <property fmtid="{D5CDD505-2E9C-101B-9397-08002B2CF9AE}" pid="4" name="KSORubyTemplateID">
    <vt:lpwstr>10</vt:lpwstr>
  </property>
  <property fmtid="{D5CDD505-2E9C-101B-9397-08002B2CF9AE}" pid="5" name="KSOProductBuildVer">
    <vt:lpwstr>2052-11.8.2.10386</vt:lpwstr>
  </property>
  <property fmtid="{D5CDD505-2E9C-101B-9397-08002B2CF9AE}" pid="6" name="_2015_ms_pID_7253432">
    <vt:lpwstr>WA==</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1543481871</vt:lpwstr>
  </property>
  <property fmtid="{D5CDD505-2E9C-101B-9397-08002B2CF9AE}" pid="11" name="ICV">
    <vt:lpwstr>8D44021CC4F041DC82C9D5A128C8289D</vt:lpwstr>
  </property>
</Properties>
</file>