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566"/>
  </bookViews>
  <sheets>
    <sheet name="那笔小桥（方案2.25）" sheetId="49" r:id="rId1"/>
    <sheet name="Sheet1" sheetId="36" r:id="rId2"/>
    <sheet name="Sheet2" sheetId="48" r:id="rId3"/>
    <sheet name="Sheet3" sheetId="50" r:id="rId4"/>
    <sheet name="Sheet4" sheetId="51" r:id="rId5"/>
  </sheets>
  <externalReferences>
    <externalReference r:id="rId6"/>
  </externalReferences>
  <definedNames>
    <definedName name="credits" hidden="1">"Program Manager: Tim Rice.  Product Manager: Mark Seidenverg.  Edit Review:  Kathryn Hamilton.  Contributions by:  Steven Mitchell, Bryce Ulrich, John Jarvis, Mark Hopwood, Eric Patterson, John LaTour, and Jo Berry."</definedName>
    <definedName name="_xlnm.Print_Area" localSheetId="0">'那笔小桥（方案2.25）'!$A$1:$R$84</definedName>
    <definedName name="Annual_interest_rate">'[1]AMORTIZATION TABLE'!$C$15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N56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填桥立面面积</t>
        </r>
      </text>
    </comment>
    <comment ref="N58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桥宽</t>
        </r>
        <r>
          <rPr>
            <sz val="9"/>
            <rFont val="Tahoma"/>
            <charset val="134"/>
          </rPr>
          <t>+4m</t>
        </r>
      </text>
    </comment>
    <comment ref="N59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填最大高度以内</t>
        </r>
      </text>
    </comment>
    <comment ref="B66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填桥立面面积</t>
        </r>
      </text>
    </comment>
    <comment ref="B68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桥宽</t>
        </r>
        <r>
          <rPr>
            <sz val="9"/>
            <rFont val="Tahoma"/>
            <charset val="134"/>
          </rPr>
          <t>+4m</t>
        </r>
      </text>
    </comment>
    <comment ref="B69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填最大高度以内</t>
        </r>
      </text>
    </comment>
  </commentList>
</comments>
</file>

<file path=xl/sharedStrings.xml><?xml version="1.0" encoding="utf-8"?>
<sst xmlns="http://schemas.openxmlformats.org/spreadsheetml/2006/main" count="406" uniqueCount="253">
  <si>
    <t>桥梁工程数量表</t>
  </si>
  <si>
    <t>SⅣ-1</t>
  </si>
  <si>
    <t xml:space="preserve">  C290田东县檀河至保群公路K4+921那初三桥工程项目</t>
  </si>
  <si>
    <t>那初三桥（推荐方案）</t>
  </si>
  <si>
    <t>第1页  共2页</t>
  </si>
  <si>
    <t>序
号</t>
  </si>
  <si>
    <t>中心桩号</t>
  </si>
  <si>
    <t>桥梁全长（m）</t>
  </si>
  <si>
    <t>交角（°）</t>
  </si>
  <si>
    <t>结构形式</t>
  </si>
  <si>
    <t>拆 除 旧 桥</t>
  </si>
  <si>
    <t>基 础 工 程</t>
  </si>
  <si>
    <t>拆除</t>
  </si>
  <si>
    <r>
      <rPr>
        <sz val="10"/>
        <rFont val="宋体"/>
        <charset val="134"/>
        <scheme val="minor"/>
      </rPr>
      <t>机械挖基坑≤1500m</t>
    </r>
    <r>
      <rPr>
        <vertAlign val="superscript"/>
        <sz val="10"/>
        <rFont val="宋体"/>
        <charset val="134"/>
        <scheme val="minor"/>
      </rPr>
      <t>3</t>
    </r>
  </si>
  <si>
    <t>φ1.3m回旋钻钻孔桩基础</t>
  </si>
  <si>
    <t>桩基础</t>
  </si>
  <si>
    <t>桩基检测</t>
  </si>
  <si>
    <t>孔数×跨径</t>
  </si>
  <si>
    <t>桥面</t>
  </si>
  <si>
    <t>下部结构</t>
  </si>
  <si>
    <t>路面</t>
  </si>
  <si>
    <t>陆上</t>
  </si>
  <si>
    <t>桩基砼</t>
  </si>
  <si>
    <t>钢护筒</t>
  </si>
  <si>
    <t>HRB400钢筋</t>
  </si>
  <si>
    <t>HPB300钢筋</t>
  </si>
  <si>
    <t>φ53×1.5mm</t>
  </si>
  <si>
    <t>铪</t>
  </si>
  <si>
    <t>混凝土</t>
  </si>
  <si>
    <t>土方</t>
  </si>
  <si>
    <t>粘土</t>
  </si>
  <si>
    <t>强风化泥质灰岩</t>
  </si>
  <si>
    <t>水下C30砼</t>
  </si>
  <si>
    <r>
      <rPr>
        <sz val="10"/>
        <rFont val="SJQY"/>
        <charset val="134"/>
      </rPr>
      <t>C</t>
    </r>
    <r>
      <rPr>
        <sz val="10"/>
        <rFont val="Arial"/>
        <charset val="134"/>
      </rPr>
      <t>25</t>
    </r>
  </si>
  <si>
    <r>
      <rPr>
        <sz val="10"/>
        <rFont val="SJQY"/>
        <charset val="134"/>
      </rPr>
      <t>C</t>
    </r>
    <r>
      <rPr>
        <sz val="10"/>
        <rFont val="Arial"/>
        <charset val="134"/>
      </rPr>
      <t>16</t>
    </r>
  </si>
  <si>
    <r>
      <rPr>
        <sz val="10"/>
        <rFont val="SJQY"/>
        <charset val="134"/>
      </rPr>
      <t>A</t>
    </r>
    <r>
      <rPr>
        <sz val="10"/>
        <rFont val="Arial"/>
        <charset val="134"/>
      </rPr>
      <t>12</t>
    </r>
  </si>
  <si>
    <t>钢管</t>
  </si>
  <si>
    <r>
      <rPr>
        <sz val="10"/>
        <rFont val="宋体"/>
        <charset val="134"/>
        <scheme val="minor"/>
      </rPr>
      <t>（m</t>
    </r>
    <r>
      <rPr>
        <vertAlign val="superscript"/>
        <sz val="10"/>
        <rFont val="宋体"/>
        <charset val="134"/>
        <scheme val="minor"/>
      </rPr>
      <t>3</t>
    </r>
    <r>
      <rPr>
        <sz val="10"/>
        <rFont val="宋体"/>
        <charset val="134"/>
        <scheme val="minor"/>
      </rPr>
      <t>）</t>
    </r>
  </si>
  <si>
    <t>(m)</t>
  </si>
  <si>
    <r>
      <rPr>
        <sz val="10"/>
        <rFont val="宋体"/>
        <charset val="134"/>
      </rPr>
      <t>（m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）</t>
    </r>
  </si>
  <si>
    <t>（kg）</t>
  </si>
  <si>
    <t>K0+020</t>
  </si>
  <si>
    <t>2×13</t>
  </si>
  <si>
    <t>简支现浇钢筋混凝土空心板</t>
  </si>
  <si>
    <t>下部构造</t>
  </si>
  <si>
    <t>桩柱台</t>
  </si>
  <si>
    <t>圆柱墩身（h≤15m）</t>
  </si>
  <si>
    <t>圆柱墩盖梁</t>
  </si>
  <si>
    <t>挡块</t>
  </si>
  <si>
    <t>现浇C35砼</t>
  </si>
  <si>
    <t>现浇C35砼挡块</t>
  </si>
  <si>
    <t>帽梁</t>
  </si>
  <si>
    <r>
      <rPr>
        <sz val="9"/>
        <rFont val="SJQY"/>
        <charset val="134"/>
      </rPr>
      <t>C</t>
    </r>
    <r>
      <rPr>
        <sz val="9"/>
        <rFont val="黑体"/>
        <charset val="134"/>
      </rPr>
      <t>25</t>
    </r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</si>
  <si>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12</t>
    </r>
  </si>
  <si>
    <t>耳帽、背墙</t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</si>
  <si>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20</t>
    </r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</si>
  <si>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16</t>
    </r>
  </si>
  <si>
    <r>
      <rPr>
        <sz val="9"/>
        <rFont val="SJQY"/>
        <charset val="134"/>
      </rPr>
      <t>C</t>
    </r>
    <r>
      <rPr>
        <sz val="9"/>
        <rFont val="黑体"/>
        <charset val="134"/>
      </rPr>
      <t>12</t>
    </r>
  </si>
  <si>
    <r>
      <rPr>
        <sz val="9"/>
        <rFont val="SJQYDY"/>
        <charset val="134"/>
      </rPr>
      <t>A</t>
    </r>
    <r>
      <rPr>
        <sz val="9"/>
        <rFont val="Times New Roman"/>
        <charset val="134"/>
      </rPr>
      <t>12</t>
    </r>
  </si>
  <si>
    <r>
      <rPr>
        <sz val="9"/>
        <rFont val="黑体"/>
        <charset val="134"/>
      </rPr>
      <t>（m</t>
    </r>
    <r>
      <rPr>
        <vertAlign val="superscript"/>
        <sz val="9"/>
        <rFont val="黑体"/>
        <charset val="134"/>
      </rPr>
      <t>3</t>
    </r>
    <r>
      <rPr>
        <sz val="9"/>
        <rFont val="黑体"/>
        <charset val="134"/>
      </rPr>
      <t>）</t>
    </r>
  </si>
  <si>
    <t>（Kg）</t>
  </si>
  <si>
    <t>上 部 结 构</t>
  </si>
  <si>
    <t>桥面系</t>
  </si>
  <si>
    <t>垫石</t>
  </si>
  <si>
    <t>抗震锚栓</t>
  </si>
  <si>
    <t>现浇钢筋混凝土简支空心板</t>
  </si>
  <si>
    <t>支座</t>
  </si>
  <si>
    <t>桥面铺装（含桥面连续）</t>
  </si>
  <si>
    <t>现浇C50小石子砼</t>
  </si>
  <si>
    <t>钢套管</t>
  </si>
  <si>
    <t>现浇</t>
  </si>
  <si>
    <t>现浇成孔板</t>
  </si>
  <si>
    <t>板式橡胶支座</t>
  </si>
  <si>
    <t>钢板</t>
  </si>
  <si>
    <t>15～22.5cm厚C50砼现浇层</t>
  </si>
  <si>
    <t>渗透型</t>
  </si>
  <si>
    <r>
      <rPr>
        <sz val="9"/>
        <rFont val="SJQYDY"/>
        <charset val="134"/>
      </rPr>
      <t>A</t>
    </r>
    <r>
      <rPr>
        <sz val="9"/>
        <rFont val="Times New Roman"/>
        <charset val="134"/>
      </rPr>
      <t>10</t>
    </r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</si>
  <si>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18</t>
    </r>
  </si>
  <si>
    <t>C50砼空心板</t>
  </si>
  <si>
    <r>
      <rPr>
        <sz val="10"/>
        <rFont val="SJQY"/>
        <charset val="134"/>
      </rPr>
      <t>C</t>
    </r>
    <r>
      <rPr>
        <sz val="10"/>
        <rFont val="Arial"/>
        <charset val="134"/>
      </rPr>
      <t>22</t>
    </r>
  </si>
  <si>
    <r>
      <rPr>
        <sz val="9"/>
        <rFont val="SJQYDY"/>
        <charset val="134"/>
      </rPr>
      <t>A</t>
    </r>
    <r>
      <rPr>
        <sz val="9"/>
        <rFont val="Times New Roman"/>
        <charset val="134"/>
      </rPr>
      <t>36PVC</t>
    </r>
    <r>
      <rPr>
        <sz val="9"/>
        <rFont val="宋体"/>
        <charset val="134"/>
      </rPr>
      <t>管</t>
    </r>
  </si>
  <si>
    <t>GBZ Y 250x63(CR)</t>
  </si>
  <si>
    <t>防水剂</t>
  </si>
  <si>
    <t>带封盖</t>
  </si>
  <si>
    <t>（m3）</t>
  </si>
  <si>
    <t>（m）</t>
  </si>
  <si>
    <r>
      <rPr>
        <sz val="10"/>
        <rFont val="宋体"/>
        <charset val="134"/>
      </rPr>
      <t>(dm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/个)</t>
    </r>
  </si>
  <si>
    <r>
      <rPr>
        <sz val="10"/>
        <rFont val="宋体"/>
        <charset val="134"/>
      </rPr>
      <t>（m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）</t>
    </r>
  </si>
  <si>
    <t>86.6/28</t>
  </si>
  <si>
    <t>护栏</t>
  </si>
  <si>
    <t>伸缩缝</t>
  </si>
  <si>
    <t>搭板、枕梁</t>
  </si>
  <si>
    <t>桥面排水</t>
  </si>
  <si>
    <t>D12带肋钢</t>
  </si>
  <si>
    <t>现浇C40</t>
  </si>
  <si>
    <t>钢遮板</t>
  </si>
  <si>
    <t>GQF-Z40型</t>
  </si>
  <si>
    <t>现浇C50砼</t>
  </si>
  <si>
    <t>密封胶</t>
  </si>
  <si>
    <t>泄水管、</t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</si>
  <si>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10</t>
    </r>
  </si>
  <si>
    <t>筋焊接网</t>
  </si>
  <si>
    <t>Q235 □500x5x1235</t>
  </si>
  <si>
    <t>螺母</t>
  </si>
  <si>
    <r>
      <rPr>
        <sz val="10"/>
        <rFont val="SJQY"/>
        <charset val="134"/>
      </rPr>
      <t>C</t>
    </r>
    <r>
      <rPr>
        <sz val="10"/>
        <rFont val="Times New Roman"/>
        <charset val="134"/>
      </rPr>
      <t>16</t>
    </r>
  </si>
  <si>
    <t>C30砼</t>
  </si>
  <si>
    <r>
      <rPr>
        <sz val="10"/>
        <rFont val="SJQY"/>
        <charset val="134"/>
      </rPr>
      <t>C</t>
    </r>
    <r>
      <rPr>
        <sz val="10"/>
        <rFont val="宋体"/>
        <charset val="134"/>
        <scheme val="minor"/>
      </rPr>
      <t>12/10</t>
    </r>
  </si>
  <si>
    <t>弯头、</t>
  </si>
  <si>
    <t>M20x180</t>
  </si>
  <si>
    <t>隔栅盖</t>
  </si>
  <si>
    <t>（套）</t>
  </si>
  <si>
    <t>（m/道）</t>
  </si>
  <si>
    <t>17.0/2</t>
  </si>
  <si>
    <t>311.8/107</t>
  </si>
  <si>
    <t>编制：</t>
  </si>
  <si>
    <t>复核：</t>
  </si>
  <si>
    <t>审核：</t>
  </si>
  <si>
    <t>第2页  共2页</t>
  </si>
  <si>
    <t>附 属 工 程</t>
  </si>
  <si>
    <t>交安设施</t>
  </si>
  <si>
    <t>台前护坡</t>
  </si>
  <si>
    <t>台背回填</t>
  </si>
  <si>
    <t>标志（2套一柱双牌）</t>
  </si>
  <si>
    <t>UPVC管</t>
  </si>
  <si>
    <t>C20砼</t>
  </si>
  <si>
    <t>砂砾垫层</t>
  </si>
  <si>
    <t>填土</t>
  </si>
  <si>
    <t>级配碎石回填</t>
  </si>
  <si>
    <t>标志牌</t>
  </si>
  <si>
    <t>立柱</t>
  </si>
  <si>
    <t>外径22cm</t>
  </si>
  <si>
    <t>（厚15cm）</t>
  </si>
  <si>
    <t>（厚10cm）</t>
  </si>
  <si>
    <t>（砂性土）</t>
  </si>
  <si>
    <t>标志板（φ800  δ=3mm ）</t>
  </si>
  <si>
    <t>滑动槽铝</t>
  </si>
  <si>
    <t>抱箍/抱箍底衬</t>
  </si>
  <si>
    <t>滑动螺栓/螺母/垫圈</t>
  </si>
  <si>
    <t>反光膜IV类</t>
  </si>
  <si>
    <t>Φ121×6×4470钢管</t>
  </si>
  <si>
    <t>柱帽</t>
  </si>
  <si>
    <t>底座法兰盘</t>
  </si>
  <si>
    <t>加劲肋</t>
  </si>
  <si>
    <t>定位法兰盘</t>
  </si>
  <si>
    <t>地脚螺栓、</t>
  </si>
  <si>
    <t>M20镀锌</t>
  </si>
  <si>
    <t>螺母、垫圈</t>
  </si>
  <si>
    <t>（45号钢）</t>
  </si>
  <si>
    <t>4.88/3.6</t>
  </si>
  <si>
    <t>1.44/0.48/1</t>
  </si>
  <si>
    <t>维修路面</t>
  </si>
  <si>
    <t>交通标线</t>
  </si>
  <si>
    <t>桥梁信息公示牌/轮廓标</t>
  </si>
  <si>
    <t>警示反光漆</t>
  </si>
  <si>
    <t>凿除路面板C30砼</t>
  </si>
  <si>
    <t>挖除基层</t>
  </si>
  <si>
    <t>现浇C20砼</t>
  </si>
  <si>
    <t>现浇路面板C40砼</t>
  </si>
  <si>
    <t>环氧树脂灌缝</t>
  </si>
  <si>
    <t>基础</t>
  </si>
  <si>
    <t>黄色线，线宽15cm)</t>
  </si>
  <si>
    <t>白色线，线宽15cm</t>
  </si>
  <si>
    <r>
      <rPr>
        <sz val="9"/>
        <color rgb="FFFF0000"/>
        <rFont val="SJQYDY"/>
        <charset val="134"/>
      </rPr>
      <t>A</t>
    </r>
    <r>
      <rPr>
        <sz val="9"/>
        <color rgb="FFFF0000"/>
        <rFont val="Times New Roman"/>
        <charset val="134"/>
      </rPr>
      <t>32</t>
    </r>
  </si>
  <si>
    <r>
      <rPr>
        <sz val="9"/>
        <color rgb="FFFF0000"/>
        <rFont val="SJQYDY"/>
        <charset val="134"/>
      </rPr>
      <t>A</t>
    </r>
    <r>
      <rPr>
        <sz val="9"/>
        <color rgb="FFFF0000"/>
        <rFont val="Times New Roman"/>
        <charset val="134"/>
      </rPr>
      <t>20</t>
    </r>
  </si>
  <si>
    <t>HRB400</t>
  </si>
  <si>
    <t>C25砼</t>
  </si>
  <si>
    <t>碎石垫层</t>
  </si>
  <si>
    <t>土方开挖</t>
  </si>
  <si>
    <t>土方回填</t>
  </si>
  <si>
    <r>
      <rPr>
        <sz val="10"/>
        <rFont val="SJQY"/>
        <charset val="134"/>
      </rPr>
      <t>C</t>
    </r>
    <r>
      <rPr>
        <sz val="10"/>
        <rFont val="宋体"/>
        <charset val="134"/>
      </rPr>
      <t>10钢筋</t>
    </r>
  </si>
  <si>
    <r>
      <rPr>
        <sz val="10"/>
        <rFont val="SJQY"/>
        <charset val="134"/>
      </rPr>
      <t>C</t>
    </r>
    <r>
      <rPr>
        <sz val="10"/>
        <rFont val="宋体"/>
        <charset val="134"/>
      </rPr>
      <t>14钢筋</t>
    </r>
  </si>
  <si>
    <r>
      <rPr>
        <sz val="10"/>
        <rFont val="宋体"/>
        <charset val="134"/>
        <scheme val="minor"/>
      </rPr>
      <t>（m</t>
    </r>
    <r>
      <rPr>
        <vertAlign val="superscript"/>
        <sz val="10"/>
        <rFont val="宋体"/>
        <charset val="134"/>
        <scheme val="minor"/>
      </rPr>
      <t>2</t>
    </r>
    <r>
      <rPr>
        <sz val="10"/>
        <rFont val="宋体"/>
        <charset val="134"/>
        <scheme val="minor"/>
      </rPr>
      <t>）</t>
    </r>
  </si>
  <si>
    <t>（套/个）</t>
  </si>
  <si>
    <r>
      <rPr>
        <sz val="10"/>
        <color rgb="FFFF0000"/>
        <rFont val="宋体"/>
        <charset val="134"/>
      </rPr>
      <t>（m</t>
    </r>
    <r>
      <rPr>
        <vertAlign val="superscript"/>
        <sz val="10"/>
        <color rgb="FFFF0000"/>
        <rFont val="宋体"/>
        <charset val="134"/>
      </rPr>
      <t>3</t>
    </r>
    <r>
      <rPr>
        <sz val="10"/>
        <color rgb="FFFF0000"/>
        <rFont val="宋体"/>
        <charset val="134"/>
      </rPr>
      <t>）</t>
    </r>
  </si>
  <si>
    <t>2/5</t>
  </si>
  <si>
    <t>临 时 工 程</t>
  </si>
  <si>
    <t xml:space="preserve"> </t>
  </si>
  <si>
    <t>满堂式</t>
  </si>
  <si>
    <t>满堂支架</t>
  </si>
  <si>
    <t>临时用地</t>
  </si>
  <si>
    <t>平整场地</t>
  </si>
  <si>
    <t>临时接电</t>
  </si>
  <si>
    <t>临时施工便道</t>
  </si>
  <si>
    <t>筑岛填土</t>
  </si>
  <si>
    <t>青苗补偿</t>
  </si>
  <si>
    <t>钢支架</t>
  </si>
  <si>
    <t>基底回填</t>
  </si>
  <si>
    <t>现浇C30砼</t>
  </si>
  <si>
    <t>8.5m宽</t>
  </si>
  <si>
    <t>片石</t>
  </si>
  <si>
    <t>（4.5m宽）</t>
  </si>
  <si>
    <t>林地</t>
  </si>
  <si>
    <t>(8m以内)</t>
  </si>
  <si>
    <t>(30cm厚)</t>
  </si>
  <si>
    <r>
      <rPr>
        <sz val="9"/>
        <rFont val="宋体"/>
        <charset val="134"/>
      </rPr>
      <t>（m</t>
    </r>
    <r>
      <rPr>
        <vertAlign val="superscript"/>
        <sz val="9"/>
        <rFont val="宋体"/>
        <charset val="134"/>
      </rPr>
      <t>2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</si>
  <si>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（m</t>
    </r>
    <r>
      <rPr>
        <vertAlign val="superscript"/>
        <sz val="9"/>
        <rFont val="宋体"/>
        <charset val="134"/>
      </rPr>
      <t>3</t>
    </r>
    <r>
      <rPr>
        <sz val="9"/>
        <rFont val="宋体"/>
        <charset val="134"/>
      </rPr>
      <t>）</t>
    </r>
  </si>
  <si>
    <t>（亩）</t>
  </si>
  <si>
    <t>（项）</t>
  </si>
  <si>
    <r>
      <t>（m</t>
    </r>
    <r>
      <rPr>
        <vertAlign val="superscript"/>
        <sz val="9"/>
        <color rgb="FFFF0000"/>
        <rFont val="宋体"/>
        <charset val="134"/>
      </rPr>
      <t>3</t>
    </r>
    <r>
      <rPr>
        <sz val="9"/>
        <color rgb="FFFF0000"/>
        <rFont val="宋体"/>
        <charset val="134"/>
      </rPr>
      <t>）</t>
    </r>
  </si>
  <si>
    <r>
      <rPr>
        <sz val="12"/>
        <rFont val="宋体"/>
        <charset val="134"/>
      </rPr>
      <t>工程或费用名称</t>
    </r>
  </si>
  <si>
    <r>
      <rPr>
        <sz val="12"/>
        <rFont val="宋体"/>
        <charset val="134"/>
      </rPr>
      <t>金额（万元）</t>
    </r>
  </si>
  <si>
    <r>
      <rPr>
        <sz val="12"/>
        <rFont val="宋体"/>
        <charset val="134"/>
      </rPr>
      <t>第一部分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建筑安装工程费</t>
    </r>
  </si>
  <si>
    <r>
      <rPr>
        <sz val="12"/>
        <rFont val="宋体"/>
        <charset val="134"/>
      </rPr>
      <t>临时工程</t>
    </r>
  </si>
  <si>
    <t>临时供电设施</t>
  </si>
  <si>
    <t>运营临时保通工程</t>
  </si>
  <si>
    <t>路基工程</t>
  </si>
  <si>
    <t>路面工程</t>
  </si>
  <si>
    <r>
      <rPr>
        <sz val="12"/>
        <rFont val="宋体"/>
        <charset val="134"/>
      </rPr>
      <t>桥涵工程</t>
    </r>
  </si>
  <si>
    <t>拆除旧构造物</t>
  </si>
  <si>
    <t>基础工程</t>
  </si>
  <si>
    <t>上部构造</t>
  </si>
  <si>
    <t>桥面铺装</t>
  </si>
  <si>
    <t>桥梁附属结构</t>
  </si>
  <si>
    <t>交叉工程</t>
  </si>
  <si>
    <r>
      <rPr>
        <sz val="12"/>
        <rFont val="宋体"/>
        <charset val="134"/>
      </rPr>
      <t>交通安全设施</t>
    </r>
  </si>
  <si>
    <r>
      <rPr>
        <sz val="12"/>
        <rFont val="宋体"/>
        <charset val="134"/>
      </rPr>
      <t>电杆加高</t>
    </r>
    <r>
      <rPr>
        <sz val="12"/>
        <rFont val="Times New Roman"/>
        <charset val="134"/>
      </rPr>
      <t>2m</t>
    </r>
  </si>
  <si>
    <r>
      <rPr>
        <sz val="12"/>
        <rFont val="宋体"/>
        <charset val="134"/>
      </rPr>
      <t>专项费用</t>
    </r>
  </si>
  <si>
    <r>
      <rPr>
        <sz val="12"/>
        <rFont val="宋体"/>
        <charset val="134"/>
      </rPr>
      <t>施工场地建设费</t>
    </r>
  </si>
  <si>
    <r>
      <rPr>
        <sz val="12"/>
        <rFont val="宋体"/>
        <charset val="134"/>
      </rPr>
      <t>安全生产费</t>
    </r>
  </si>
  <si>
    <r>
      <rPr>
        <sz val="12"/>
        <rFont val="宋体"/>
        <charset val="134"/>
      </rPr>
      <t>第二部分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土地使用及拆迁补偿费（临时占地）</t>
    </r>
  </si>
  <si>
    <r>
      <rPr>
        <sz val="12"/>
        <rFont val="宋体"/>
        <charset val="134"/>
      </rPr>
      <t>第三部分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养护工程其他费</t>
    </r>
  </si>
  <si>
    <t>养护工程项目管理费</t>
  </si>
  <si>
    <t>审计费</t>
  </si>
  <si>
    <t>工程监理费</t>
  </si>
  <si>
    <t>竣（交）工验收试验检测费</t>
  </si>
  <si>
    <t>项目前期工作费</t>
  </si>
  <si>
    <t>现场勘察费</t>
  </si>
  <si>
    <t>工程设计费</t>
  </si>
  <si>
    <t>防洪专题</t>
  </si>
  <si>
    <t>工程保通管理费（宣传费）</t>
  </si>
  <si>
    <t>工程保险费</t>
  </si>
  <si>
    <r>
      <rPr>
        <sz val="12"/>
        <rFont val="宋体"/>
        <charset val="134"/>
      </rPr>
      <t>第四部分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预备费</t>
    </r>
  </si>
  <si>
    <r>
      <rPr>
        <sz val="12"/>
        <rFont val="宋体"/>
        <charset val="134"/>
      </rPr>
      <t>养护工程预算总金额</t>
    </r>
  </si>
  <si>
    <t>本桥VIII度区，D类，二级，E1设防，重要系数C1=0.23</t>
  </si>
  <si>
    <t>体积</t>
  </si>
  <si>
    <t>重</t>
  </si>
  <si>
    <t>支反力</t>
  </si>
  <si>
    <t>上构重</t>
  </si>
  <si>
    <t>护栏重</t>
  </si>
  <si>
    <t>铺装重</t>
  </si>
  <si>
    <t>挡墙版建安费</t>
  </si>
  <si>
    <t>元</t>
  </si>
  <si>
    <t>挡墙</t>
  </si>
  <si>
    <t>结果</t>
  </si>
  <si>
    <t>业主要求建安费</t>
  </si>
  <si>
    <t>路面费用</t>
  </si>
  <si>
    <t>路面单价</t>
  </si>
  <si>
    <t>元/平米</t>
  </si>
  <si>
    <t>路面面积</t>
  </si>
  <si>
    <t>平米</t>
  </si>
  <si>
    <t>路面宽</t>
  </si>
  <si>
    <t>米</t>
  </si>
  <si>
    <t>维修路面长度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</si>
</sst>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&quot;K&quot;00&quot;+&quot;000"/>
    <numFmt numFmtId="178" formatCode="0.00_ "/>
    <numFmt numFmtId="179" formatCode="0.0_ "/>
    <numFmt numFmtId="180" formatCode="0.0_);[Red]\(0.0\)"/>
    <numFmt numFmtId="181" formatCode="0.00_);[Red]\(0.00\)"/>
    <numFmt numFmtId="182" formatCode="0_);[Red]\(0\)"/>
    <numFmt numFmtId="183" formatCode="0.0&quot;/60&quot;"/>
    <numFmt numFmtId="184" formatCode="#,##0.00_ "/>
    <numFmt numFmtId="185" formatCode="0.00;[Red]0.00"/>
    <numFmt numFmtId="186" formatCode="0;[Red]0"/>
  </numFmts>
  <fonts count="51">
    <font>
      <sz val="12"/>
      <name val="宋体"/>
      <charset val="134"/>
    </font>
    <font>
      <sz val="12"/>
      <color rgb="FFFF0000"/>
      <name val="宋体"/>
      <charset val="134"/>
    </font>
    <font>
      <sz val="12"/>
      <name val="Times New Roman"/>
      <charset val="134"/>
    </font>
    <font>
      <sz val="18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9"/>
      <name val="SJQY"/>
      <charset val="134"/>
    </font>
    <font>
      <sz val="10"/>
      <name val="SJQY"/>
      <charset val="134"/>
    </font>
    <font>
      <sz val="9"/>
      <name val="黑体"/>
      <charset val="134"/>
    </font>
    <font>
      <sz val="10"/>
      <name val="SJQYDY"/>
      <charset val="134"/>
    </font>
    <font>
      <sz val="9"/>
      <name val="SJQYDY"/>
      <charset val="134"/>
    </font>
    <font>
      <sz val="10"/>
      <name val="黑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9"/>
      <color rgb="FFFF0000"/>
      <name val="宋体"/>
      <charset val="134"/>
    </font>
    <font>
      <sz val="9"/>
      <color rgb="FFFF0000"/>
      <name val="SJQYDY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Times New Roman"/>
      <charset val="134"/>
    </font>
    <font>
      <vertAlign val="superscript"/>
      <sz val="10"/>
      <color rgb="FFFF0000"/>
      <name val="宋体"/>
      <charset val="134"/>
    </font>
    <font>
      <vertAlign val="superscript"/>
      <sz val="9"/>
      <name val="宋体"/>
      <charset val="134"/>
    </font>
    <font>
      <sz val="10"/>
      <name val="Times New Roman"/>
      <charset val="134"/>
    </font>
    <font>
      <sz val="10"/>
      <name val="Arial"/>
      <charset val="134"/>
    </font>
    <font>
      <vertAlign val="superscript"/>
      <sz val="10"/>
      <name val="宋体"/>
      <charset val="134"/>
      <scheme val="minor"/>
    </font>
    <font>
      <vertAlign val="superscript"/>
      <sz val="10"/>
      <name val="宋体"/>
      <charset val="134"/>
    </font>
    <font>
      <vertAlign val="superscript"/>
      <sz val="9"/>
      <color rgb="FFFF0000"/>
      <name val="宋体"/>
      <charset val="134"/>
    </font>
    <font>
      <vertAlign val="superscript"/>
      <sz val="9"/>
      <name val="黑体"/>
      <charset val="134"/>
    </font>
    <font>
      <sz val="9"/>
      <color rgb="FFFF0000"/>
      <name val="Times New Roman"/>
      <charset val="134"/>
    </font>
    <font>
      <b/>
      <sz val="9"/>
      <name val="Tahoma"/>
      <charset val="134"/>
    </font>
    <font>
      <sz val="9"/>
      <name val="Tahoma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5" borderId="17" applyNumberFormat="0" applyAlignment="0" applyProtection="0">
      <alignment vertical="center"/>
    </xf>
    <xf numFmtId="0" fontId="30" fillId="6" borderId="19" applyNumberFormat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16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7" fontId="6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8" fontId="4" fillId="2" borderId="3" xfId="0" applyNumberFormat="1" applyFont="1" applyFill="1" applyBorder="1" applyAlignment="1">
      <alignment horizontal="centerContinuous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80" fontId="6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Continuous" vertical="center"/>
    </xf>
    <xf numFmtId="0" fontId="7" fillId="2" borderId="1" xfId="0" applyFont="1" applyFill="1" applyBorder="1" applyAlignment="1">
      <alignment horizontal="centerContinuous" vertical="center" wrapText="1"/>
    </xf>
    <xf numFmtId="0" fontId="7" fillId="2" borderId="2" xfId="49" applyFont="1" applyFill="1" applyBorder="1" applyAlignment="1" applyProtection="1">
      <alignment horizontal="center" vertical="center" wrapText="1"/>
    </xf>
    <xf numFmtId="0" fontId="7" fillId="2" borderId="6" xfId="49" applyFont="1" applyFill="1" applyBorder="1" applyAlignment="1" applyProtection="1">
      <alignment horizontal="center" vertical="center" wrapText="1"/>
    </xf>
    <xf numFmtId="0" fontId="8" fillId="2" borderId="2" xfId="49" applyFont="1" applyFill="1" applyBorder="1" applyAlignment="1" applyProtection="1">
      <alignment horizontal="center" vertical="center" wrapText="1"/>
    </xf>
    <xf numFmtId="178" fontId="9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78" fontId="9" fillId="2" borderId="4" xfId="0" applyNumberFormat="1" applyFont="1" applyFill="1" applyBorder="1" applyAlignment="1">
      <alignment horizontal="center" vertical="center" wrapText="1"/>
    </xf>
    <xf numFmtId="0" fontId="0" fillId="2" borderId="0" xfId="56" applyFont="1" applyFill="1"/>
    <xf numFmtId="0" fontId="0" fillId="2" borderId="4" xfId="56" applyFont="1" applyFill="1" applyBorder="1"/>
    <xf numFmtId="0" fontId="10" fillId="2" borderId="4" xfId="49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178" fontId="11" fillId="2" borderId="4" xfId="0" applyNumberFormat="1" applyFont="1" applyFill="1" applyBorder="1" applyAlignment="1">
      <alignment horizontal="center" vertical="center" wrapText="1"/>
    </xf>
    <xf numFmtId="178" fontId="4" fillId="2" borderId="6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81" fontId="6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181" fontId="4" fillId="2" borderId="0" xfId="0" applyNumberFormat="1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78" fontId="4" fillId="2" borderId="4" xfId="0" applyNumberFormat="1" applyFont="1" applyFill="1" applyBorder="1" applyAlignment="1">
      <alignment horizontal="center" vertical="center" wrapText="1"/>
    </xf>
    <xf numFmtId="178" fontId="12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81" fontId="4" fillId="2" borderId="1" xfId="0" applyNumberFormat="1" applyFont="1" applyFill="1" applyBorder="1" applyAlignment="1">
      <alignment horizontal="center" vertical="center"/>
    </xf>
    <xf numFmtId="178" fontId="4" fillId="2" borderId="2" xfId="0" applyNumberFormat="1" applyFont="1" applyFill="1" applyBorder="1" applyAlignment="1">
      <alignment horizontal="centerContinuous" vertical="center"/>
    </xf>
    <xf numFmtId="49" fontId="4" fillId="2" borderId="3" xfId="0" applyNumberFormat="1" applyFont="1" applyFill="1" applyBorder="1" applyAlignment="1">
      <alignment horizontal="centerContinuous" vertical="center" wrapText="1"/>
    </xf>
    <xf numFmtId="49" fontId="4" fillId="2" borderId="1" xfId="0" applyNumberFormat="1" applyFont="1" applyFill="1" applyBorder="1" applyAlignment="1">
      <alignment horizontal="centerContinuous" vertical="center" wrapText="1"/>
    </xf>
    <xf numFmtId="49" fontId="6" fillId="2" borderId="9" xfId="54" applyNumberFormat="1" applyFont="1" applyFill="1" applyBorder="1" applyAlignment="1">
      <alignment horizontal="centerContinuous" vertical="center" wrapText="1"/>
    </xf>
    <xf numFmtId="49" fontId="6" fillId="2" borderId="1" xfId="54" applyNumberFormat="1" applyFont="1" applyFill="1" applyBorder="1" applyAlignment="1">
      <alignment horizontal="centerContinuous" vertical="center" wrapText="1"/>
    </xf>
    <xf numFmtId="0" fontId="4" fillId="2" borderId="1" xfId="0" applyFont="1" applyFill="1" applyBorder="1" applyAlignment="1">
      <alignment horizontal="centerContinuous" vertical="center"/>
    </xf>
    <xf numFmtId="49" fontId="6" fillId="2" borderId="3" xfId="54" applyNumberFormat="1" applyFont="1" applyFill="1" applyBorder="1" applyAlignment="1">
      <alignment horizontal="centerContinuous" vertical="center" wrapText="1"/>
    </xf>
    <xf numFmtId="0" fontId="4" fillId="2" borderId="4" xfId="54" applyFont="1" applyFill="1" applyBorder="1" applyAlignment="1">
      <alignment horizontal="center" vertical="center" wrapText="1"/>
    </xf>
    <xf numFmtId="0" fontId="4" fillId="2" borderId="2" xfId="54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Continuous" vertical="center" wrapText="1"/>
    </xf>
    <xf numFmtId="0" fontId="6" fillId="2" borderId="10" xfId="54" applyFont="1" applyFill="1" applyBorder="1" applyAlignment="1">
      <alignment horizontal="center" vertical="center" wrapText="1"/>
    </xf>
    <xf numFmtId="0" fontId="4" fillId="2" borderId="11" xfId="54" applyFont="1" applyFill="1" applyBorder="1" applyAlignment="1">
      <alignment horizontal="center" vertical="center" wrapText="1"/>
    </xf>
    <xf numFmtId="0" fontId="6" fillId="2" borderId="6" xfId="54" applyFont="1" applyFill="1" applyBorder="1" applyAlignment="1">
      <alignment horizontal="center" vertical="center" wrapText="1"/>
    </xf>
    <xf numFmtId="0" fontId="6" fillId="2" borderId="6" xfId="54" applyFont="1" applyFill="1" applyBorder="1" applyAlignment="1">
      <alignment vertical="center" wrapText="1"/>
    </xf>
    <xf numFmtId="0" fontId="6" fillId="2" borderId="11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/>
    </xf>
    <xf numFmtId="180" fontId="6" fillId="2" borderId="1" xfId="54" applyNumberFormat="1" applyFont="1" applyFill="1" applyBorder="1" applyAlignment="1">
      <alignment horizontal="center" vertical="center"/>
    </xf>
    <xf numFmtId="180" fontId="6" fillId="2" borderId="8" xfId="54" applyNumberFormat="1" applyFont="1" applyFill="1" applyBorder="1" applyAlignment="1">
      <alignment horizontal="center" vertical="center"/>
    </xf>
    <xf numFmtId="179" fontId="6" fillId="2" borderId="1" xfId="53" applyNumberFormat="1" applyFont="1" applyFill="1" applyBorder="1" applyAlignment="1">
      <alignment horizontal="center" vertical="center"/>
    </xf>
    <xf numFmtId="0" fontId="6" fillId="2" borderId="1" xfId="54" applyFont="1" applyFill="1" applyBorder="1" applyAlignment="1">
      <alignment horizontal="center" vertical="center"/>
    </xf>
    <xf numFmtId="177" fontId="6" fillId="2" borderId="0" xfId="0" applyNumberFormat="1" applyFont="1" applyFill="1">
      <alignment vertical="center"/>
    </xf>
    <xf numFmtId="178" fontId="6" fillId="2" borderId="2" xfId="54" applyNumberFormat="1" applyFont="1" applyFill="1" applyBorder="1" applyAlignment="1">
      <alignment horizontal="centerContinuous" vertical="center" wrapText="1"/>
    </xf>
    <xf numFmtId="0" fontId="4" fillId="2" borderId="2" xfId="0" applyFont="1" applyFill="1" applyBorder="1" applyAlignment="1">
      <alignment horizontal="centerContinuous" vertical="center" wrapText="1"/>
    </xf>
    <xf numFmtId="0" fontId="6" fillId="2" borderId="1" xfId="54" applyFont="1" applyFill="1" applyBorder="1" applyAlignment="1">
      <alignment horizontal="centerContinuous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" xfId="5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9" fontId="6" fillId="2" borderId="1" xfId="54" applyNumberFormat="1" applyFont="1" applyFill="1" applyBorder="1" applyAlignment="1">
      <alignment horizontal="center" vertical="center"/>
    </xf>
    <xf numFmtId="178" fontId="6" fillId="2" borderId="10" xfId="0" applyNumberFormat="1" applyFont="1" applyFill="1" applyBorder="1" applyAlignment="1">
      <alignment horizontal="center" vertical="center" wrapText="1"/>
    </xf>
    <xf numFmtId="178" fontId="4" fillId="2" borderId="8" xfId="0" applyNumberFormat="1" applyFont="1" applyFill="1" applyBorder="1" applyAlignment="1">
      <alignment horizontal="centerContinuous" vertical="center"/>
    </xf>
    <xf numFmtId="178" fontId="6" fillId="2" borderId="6" xfId="0" applyNumberFormat="1" applyFont="1" applyFill="1" applyBorder="1" applyAlignment="1">
      <alignment horizontal="center" vertical="center" wrapText="1"/>
    </xf>
    <xf numFmtId="178" fontId="4" fillId="2" borderId="4" xfId="0" applyNumberFormat="1" applyFont="1" applyFill="1" applyBorder="1" applyAlignment="1">
      <alignment horizontal="center" vertical="center"/>
    </xf>
    <xf numFmtId="178" fontId="4" fillId="2" borderId="7" xfId="0" applyNumberFormat="1" applyFont="1" applyFill="1" applyBorder="1" applyAlignment="1">
      <alignment horizontal="centerContinuous" vertical="center"/>
    </xf>
    <xf numFmtId="178" fontId="6" fillId="2" borderId="6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78" fontId="6" fillId="2" borderId="4" xfId="0" applyNumberFormat="1" applyFont="1" applyFill="1" applyBorder="1" applyAlignment="1">
      <alignment horizontal="center" vertical="center" wrapText="1"/>
    </xf>
    <xf numFmtId="181" fontId="6" fillId="2" borderId="3" xfId="0" applyNumberFormat="1" applyFont="1" applyFill="1" applyBorder="1" applyAlignment="1">
      <alignment horizontal="center" vertical="center"/>
    </xf>
    <xf numFmtId="178" fontId="4" fillId="2" borderId="0" xfId="0" applyNumberFormat="1" applyFont="1" applyFill="1" applyAlignment="1">
      <alignment horizontal="center" vertical="center"/>
    </xf>
    <xf numFmtId="0" fontId="10" fillId="2" borderId="3" xfId="49" applyFont="1" applyFill="1" applyBorder="1" applyAlignment="1" applyProtection="1">
      <alignment horizontal="center" vertical="center" wrapText="1"/>
    </xf>
    <xf numFmtId="0" fontId="10" fillId="2" borderId="8" xfId="49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2" borderId="6" xfId="49" applyFont="1" applyFill="1" applyBorder="1" applyAlignment="1" applyProtection="1">
      <alignment horizontal="center" vertical="center" wrapText="1"/>
    </xf>
    <xf numFmtId="0" fontId="8" fillId="2" borderId="4" xfId="49" applyFont="1" applyFill="1" applyBorder="1" applyAlignment="1" applyProtection="1">
      <alignment horizontal="center" vertical="center" wrapText="1"/>
    </xf>
    <xf numFmtId="0" fontId="10" fillId="2" borderId="7" xfId="49" applyFont="1" applyFill="1" applyBorder="1" applyAlignment="1" applyProtection="1">
      <alignment horizontal="center" vertical="center" wrapText="1"/>
    </xf>
    <xf numFmtId="0" fontId="10" fillId="2" borderId="5" xfId="49" applyFont="1" applyFill="1" applyBorder="1" applyAlignment="1" applyProtection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182" fontId="4" fillId="2" borderId="1" xfId="0" applyNumberFormat="1" applyFont="1" applyFill="1" applyBorder="1" applyAlignment="1">
      <alignment horizontal="center" vertical="center"/>
    </xf>
    <xf numFmtId="183" fontId="4" fillId="2" borderId="1" xfId="0" applyNumberFormat="1" applyFont="1" applyFill="1" applyBorder="1" applyAlignment="1">
      <alignment horizontal="center" vertical="center"/>
    </xf>
    <xf numFmtId="184" fontId="4" fillId="2" borderId="1" xfId="0" applyNumberFormat="1" applyFont="1" applyFill="1" applyBorder="1" applyAlignment="1">
      <alignment horizontal="center" vertical="center"/>
    </xf>
    <xf numFmtId="178" fontId="4" fillId="2" borderId="5" xfId="0" applyNumberFormat="1" applyFont="1" applyFill="1" applyBorder="1" applyAlignment="1">
      <alignment horizontal="center" vertical="center"/>
    </xf>
    <xf numFmtId="178" fontId="4" fillId="2" borderId="5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49" fontId="6" fillId="2" borderId="8" xfId="54" applyNumberFormat="1" applyFont="1" applyFill="1" applyBorder="1" applyAlignment="1">
      <alignment horizontal="centerContinuous" vertical="center" wrapText="1"/>
    </xf>
    <xf numFmtId="0" fontId="6" fillId="2" borderId="8" xfId="50" applyFont="1" applyFill="1" applyBorder="1" applyAlignment="1">
      <alignment horizontal="centerContinuous" vertical="center" wrapText="1"/>
    </xf>
    <xf numFmtId="49" fontId="6" fillId="2" borderId="12" xfId="54" applyNumberFormat="1" applyFont="1" applyFill="1" applyBorder="1" applyAlignment="1">
      <alignment horizontal="centerContinuous" vertical="center" wrapText="1"/>
    </xf>
    <xf numFmtId="0" fontId="6" fillId="2" borderId="2" xfId="56" applyFont="1" applyFill="1" applyBorder="1" applyAlignment="1">
      <alignment horizontal="center" vertical="center"/>
    </xf>
    <xf numFmtId="0" fontId="6" fillId="2" borderId="4" xfId="56" applyFont="1" applyFill="1" applyBorder="1" applyAlignment="1">
      <alignment horizontal="center" wrapText="1"/>
    </xf>
    <xf numFmtId="0" fontId="6" fillId="2" borderId="4" xfId="54" applyFont="1" applyFill="1" applyBorder="1" applyAlignment="1">
      <alignment vertical="center" wrapText="1"/>
    </xf>
    <xf numFmtId="0" fontId="6" fillId="2" borderId="11" xfId="54" applyFont="1" applyFill="1" applyBorder="1" applyAlignment="1">
      <alignment vertical="center" wrapText="1"/>
    </xf>
    <xf numFmtId="0" fontId="6" fillId="2" borderId="4" xfId="56" applyFont="1" applyFill="1" applyBorder="1"/>
    <xf numFmtId="0" fontId="6" fillId="2" borderId="4" xfId="56" applyFont="1" applyFill="1" applyBorder="1" applyAlignment="1">
      <alignment horizontal="center"/>
    </xf>
    <xf numFmtId="0" fontId="6" fillId="2" borderId="4" xfId="56" applyFont="1" applyFill="1" applyBorder="1" applyAlignment="1">
      <alignment horizontal="center" vertical="center"/>
    </xf>
    <xf numFmtId="185" fontId="6" fillId="2" borderId="1" xfId="54" applyNumberFormat="1" applyFont="1" applyFill="1" applyBorder="1" applyAlignment="1">
      <alignment horizontal="center" vertical="center"/>
    </xf>
    <xf numFmtId="185" fontId="6" fillId="2" borderId="8" xfId="54" applyNumberFormat="1" applyFont="1" applyFill="1" applyBorder="1" applyAlignment="1">
      <alignment horizontal="center" vertical="center"/>
    </xf>
    <xf numFmtId="178" fontId="14" fillId="2" borderId="1" xfId="0" applyNumberFormat="1" applyFont="1" applyFill="1" applyBorder="1" applyAlignment="1">
      <alignment horizontal="centerContinuous" vertical="center"/>
    </xf>
    <xf numFmtId="0" fontId="4" fillId="2" borderId="12" xfId="0" applyFont="1" applyFill="1" applyBorder="1" applyAlignment="1">
      <alignment horizontal="centerContinuous" vertical="center"/>
    </xf>
    <xf numFmtId="181" fontId="6" fillId="2" borderId="2" xfId="50" applyNumberFormat="1" applyFont="1" applyFill="1" applyBorder="1" applyAlignment="1">
      <alignment horizontal="center" vertical="center" wrapText="1"/>
    </xf>
    <xf numFmtId="178" fontId="15" fillId="2" borderId="4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Continuous" vertical="center"/>
    </xf>
    <xf numFmtId="0" fontId="16" fillId="2" borderId="4" xfId="49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78" fontId="14" fillId="2" borderId="3" xfId="0" applyNumberFormat="1" applyFont="1" applyFill="1" applyBorder="1" applyAlignment="1">
      <alignment horizontal="centerContinuous" vertical="center"/>
    </xf>
    <xf numFmtId="0" fontId="6" fillId="2" borderId="2" xfId="54" applyFont="1" applyFill="1" applyBorder="1" applyAlignment="1">
      <alignment horizontal="center" vertical="center" wrapText="1"/>
    </xf>
    <xf numFmtId="181" fontId="6" fillId="2" borderId="4" xfId="5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78" fontId="17" fillId="2" borderId="4" xfId="0" applyNumberFormat="1" applyFont="1" applyFill="1" applyBorder="1" applyAlignment="1">
      <alignment horizontal="center" vertical="center" wrapText="1"/>
    </xf>
    <xf numFmtId="181" fontId="6" fillId="2" borderId="11" xfId="5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vertical="center" wrapText="1"/>
    </xf>
    <xf numFmtId="0" fontId="4" fillId="2" borderId="11" xfId="56" applyFont="1" applyFill="1" applyBorder="1"/>
    <xf numFmtId="0" fontId="15" fillId="2" borderId="4" xfId="0" applyFont="1" applyFill="1" applyBorder="1" applyAlignment="1">
      <alignment vertical="center" wrapText="1"/>
    </xf>
    <xf numFmtId="49" fontId="6" fillId="2" borderId="13" xfId="5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81" fontId="6" fillId="2" borderId="1" xfId="56" applyNumberFormat="1" applyFont="1" applyFill="1" applyBorder="1" applyAlignment="1">
      <alignment horizontal="center" vertical="center" wrapText="1"/>
    </xf>
    <xf numFmtId="185" fontId="15" fillId="2" borderId="1" xfId="54" applyNumberFormat="1" applyFont="1" applyFill="1" applyBorder="1" applyAlignment="1">
      <alignment horizontal="center" vertical="center"/>
    </xf>
    <xf numFmtId="0" fontId="14" fillId="2" borderId="1" xfId="54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Continuous" vertical="center"/>
    </xf>
    <xf numFmtId="178" fontId="6" fillId="2" borderId="5" xfId="0" applyNumberFormat="1" applyFont="1" applyFill="1" applyBorder="1" applyAlignment="1">
      <alignment horizontal="center" vertical="center"/>
    </xf>
    <xf numFmtId="0" fontId="6" fillId="2" borderId="1" xfId="50" applyFont="1" applyFill="1" applyBorder="1" applyAlignment="1">
      <alignment horizontal="centerContinuous" vertical="center" wrapText="1"/>
    </xf>
    <xf numFmtId="0" fontId="4" fillId="2" borderId="0" xfId="56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Continuous" vertical="center"/>
    </xf>
    <xf numFmtId="0" fontId="14" fillId="2" borderId="1" xfId="0" applyFont="1" applyFill="1" applyBorder="1" applyAlignment="1">
      <alignment horizontal="centerContinuous" vertical="center" wrapText="1"/>
    </xf>
    <xf numFmtId="0" fontId="15" fillId="2" borderId="5" xfId="0" applyFont="1" applyFill="1" applyBorder="1" applyAlignment="1">
      <alignment horizontal="center" vertical="center" wrapText="1"/>
    </xf>
    <xf numFmtId="182" fontId="15" fillId="2" borderId="1" xfId="0" applyNumberFormat="1" applyFont="1" applyFill="1" applyBorder="1" applyAlignment="1">
      <alignment horizontal="center" vertical="center"/>
    </xf>
    <xf numFmtId="0" fontId="7" fillId="2" borderId="4" xfId="49" applyFont="1" applyFill="1" applyBorder="1" applyAlignment="1">
      <alignment horizontal="center" vertical="center" wrapText="1"/>
    </xf>
    <xf numFmtId="0" fontId="7" fillId="2" borderId="3" xfId="49" applyFont="1" applyFill="1" applyBorder="1" applyAlignment="1">
      <alignment horizontal="center" vertical="center" wrapText="1"/>
    </xf>
    <xf numFmtId="0" fontId="7" fillId="2" borderId="8" xfId="49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Continuous" vertical="center"/>
    </xf>
    <xf numFmtId="0" fontId="6" fillId="2" borderId="5" xfId="0" applyFont="1" applyFill="1" applyBorder="1" applyAlignment="1">
      <alignment horizontal="center" vertical="center"/>
    </xf>
    <xf numFmtId="182" fontId="6" fillId="2" borderId="1" xfId="0" applyNumberFormat="1" applyFont="1" applyFill="1" applyBorder="1" applyAlignment="1">
      <alignment horizontal="center" vertical="center"/>
    </xf>
    <xf numFmtId="0" fontId="10" fillId="2" borderId="4" xfId="49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86" fontId="6" fillId="2" borderId="1" xfId="54" applyNumberFormat="1" applyFont="1" applyFill="1" applyBorder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3 2 2" xfId="52"/>
    <cellStyle name="常规 3 4" xfId="53"/>
    <cellStyle name="常规 4" xfId="54"/>
    <cellStyle name="常规 4 3" xfId="55"/>
    <cellStyle name="常规_原有桥涵构造物现状表6.6" xfId="56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2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NULL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18</xdr:row>
          <xdr:rowOff>0</xdr:rowOff>
        </xdr:from>
        <xdr:to>
          <xdr:col>21</xdr:col>
          <xdr:colOff>290195</xdr:colOff>
          <xdr:row>30</xdr:row>
          <xdr:rowOff>163830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268075" y="3257550"/>
              <a:ext cx="5624195" cy="254508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57150</xdr:colOff>
      <xdr:row>0</xdr:row>
      <xdr:rowOff>371475</xdr:rowOff>
    </xdr:from>
    <xdr:to>
      <xdr:col>11</xdr:col>
      <xdr:colOff>208280</xdr:colOff>
      <xdr:row>12</xdr:row>
      <xdr:rowOff>76200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57150" y="371475"/>
          <a:ext cx="7580630" cy="2114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47625</xdr:colOff>
      <xdr:row>13</xdr:row>
      <xdr:rowOff>28575</xdr:rowOff>
    </xdr:from>
    <xdr:to>
      <xdr:col>11</xdr:col>
      <xdr:colOff>151130</xdr:colOff>
      <xdr:row>29</xdr:row>
      <xdr:rowOff>151765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7625" y="2619375"/>
          <a:ext cx="7533005" cy="30187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13335</xdr:colOff>
      <xdr:row>1</xdr:row>
      <xdr:rowOff>152400</xdr:rowOff>
    </xdr:from>
    <xdr:to>
      <xdr:col>22</xdr:col>
      <xdr:colOff>7620</xdr:colOff>
      <xdr:row>29</xdr:row>
      <xdr:rowOff>27940</xdr:rowOff>
    </xdr:to>
    <xdr:pic>
      <xdr:nvPicPr>
        <xdr:cNvPr id="4" name="图片 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8418195" y="571500"/>
          <a:ext cx="6913245" cy="49428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9525</xdr:colOff>
      <xdr:row>31</xdr:row>
      <xdr:rowOff>0</xdr:rowOff>
    </xdr:from>
    <xdr:to>
      <xdr:col>11</xdr:col>
      <xdr:colOff>84455</xdr:colOff>
      <xdr:row>40</xdr:row>
      <xdr:rowOff>75565</xdr:rowOff>
    </xdr:to>
    <xdr:pic>
      <xdr:nvPicPr>
        <xdr:cNvPr id="5" name="图片 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9525" y="5848350"/>
          <a:ext cx="7504430" cy="17043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20</xdr:col>
      <xdr:colOff>434340</xdr:colOff>
      <xdr:row>30</xdr:row>
      <xdr:rowOff>66675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9525" y="9525"/>
          <a:ext cx="14445615" cy="54864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0309;&#26149;&#26519;\&#23665;&#35199;&#23384;&#26723;\EXCEL5\EXAMPLES\SAMPL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ORKSHEET FUNCTIONS"/>
      <sheetName val="AMORTIZATION TABLE"/>
      <sheetName val="平交横断面加宽及开挖视距平台_总表"/>
      <sheetName val="Sheet1"/>
      <sheetName val="Sheet2"/>
      <sheetName val="主线 (用于计算整理版)"/>
      <sheetName val="主线 (用于计算整理版) (排序后)"/>
      <sheetName val="涵洞一览表  (圆管涵)"/>
      <sheetName val="涵洞一览表  (盖板涵)"/>
      <sheetName val="通道一览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4"/>
  <sheetViews>
    <sheetView showGridLines="0" tabSelected="1" view="pageBreakPreview" zoomScaleNormal="98" topLeftCell="A43" workbookViewId="0">
      <selection activeCell="M68" sqref="M68"/>
    </sheetView>
  </sheetViews>
  <sheetFormatPr defaultColWidth="9.58333333333333" defaultRowHeight="19.9" customHeight="1"/>
  <cols>
    <col min="1" max="1" width="4.58333333333333" style="9" customWidth="1"/>
    <col min="2" max="2" width="10.0833333333333" style="9" customWidth="1"/>
    <col min="3" max="3" width="10.5833333333333" style="9" customWidth="1"/>
    <col min="4" max="4" width="10.0833333333333" style="9" customWidth="1"/>
    <col min="5" max="5" width="10.3333333333333" style="9" customWidth="1"/>
    <col min="6" max="7" width="10.0833333333333" style="9" customWidth="1"/>
    <col min="8" max="9" width="10.5" style="9" customWidth="1"/>
    <col min="10" max="10" width="10.25" style="9" customWidth="1"/>
    <col min="11" max="11" width="10.8333333333333" style="9" customWidth="1"/>
    <col min="12" max="12" width="10.0833333333333" style="9" customWidth="1"/>
    <col min="13" max="13" width="10.5" style="9" customWidth="1"/>
    <col min="14" max="14" width="11.25" style="9" customWidth="1"/>
    <col min="15" max="16" width="10.0833333333333" style="9" customWidth="1"/>
    <col min="17" max="17" width="9.83333333333333" style="9" customWidth="1"/>
    <col min="18" max="18" width="10.5833333333333" style="9" customWidth="1"/>
    <col min="19" max="20" width="8.23333333333333" style="9" customWidth="1"/>
    <col min="21" max="21" width="9.375" style="9" customWidth="1"/>
    <col min="22" max="22" width="22.5833333333333" style="9" customWidth="1"/>
    <col min="23" max="23" width="22.5" style="9" customWidth="1"/>
    <col min="24" max="16384" width="9.58333333333333" style="9"/>
  </cols>
  <sheetData>
    <row r="1" s="7" customFormat="1" ht="22.5" spans="1:18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8" t="s">
        <v>1</v>
      </c>
    </row>
    <row r="2" s="8" customFormat="1" ht="19" customHeight="1" spans="1:18">
      <c r="A2" s="11" t="s">
        <v>2</v>
      </c>
      <c r="B2" s="11"/>
      <c r="C2" s="11"/>
      <c r="D2" s="11"/>
      <c r="E2" s="11"/>
      <c r="F2" s="11"/>
      <c r="G2" s="12" t="s">
        <v>3</v>
      </c>
      <c r="J2" s="12"/>
      <c r="R2" s="8" t="s">
        <v>4</v>
      </c>
    </row>
    <row r="3" s="8" customFormat="1" ht="18.6" customHeight="1" spans="1:18">
      <c r="A3" s="13" t="s">
        <v>5</v>
      </c>
      <c r="B3" s="14" t="s">
        <v>6</v>
      </c>
      <c r="C3" s="15"/>
      <c r="D3" s="16" t="s">
        <v>7</v>
      </c>
      <c r="E3" s="16" t="s">
        <v>8</v>
      </c>
      <c r="F3" s="17" t="s">
        <v>9</v>
      </c>
      <c r="G3" s="18" t="s">
        <v>10</v>
      </c>
      <c r="H3" s="18"/>
      <c r="I3" s="18"/>
      <c r="J3" s="18" t="s">
        <v>11</v>
      </c>
      <c r="K3" s="18"/>
      <c r="L3" s="18"/>
      <c r="M3" s="18"/>
      <c r="N3" s="18"/>
      <c r="O3" s="18"/>
      <c r="P3" s="18"/>
      <c r="Q3" s="18"/>
      <c r="R3" s="30"/>
    </row>
    <row r="4" s="8" customFormat="1" ht="18.6" customHeight="1" spans="1:18">
      <c r="A4" s="19"/>
      <c r="B4" s="20"/>
      <c r="C4" s="21"/>
      <c r="D4" s="16"/>
      <c r="E4" s="16"/>
      <c r="F4" s="17"/>
      <c r="G4" s="22" t="s">
        <v>12</v>
      </c>
      <c r="H4" s="22" t="s">
        <v>12</v>
      </c>
      <c r="I4" s="22" t="s">
        <v>12</v>
      </c>
      <c r="J4" s="88" t="s">
        <v>13</v>
      </c>
      <c r="K4" s="18" t="s">
        <v>14</v>
      </c>
      <c r="L4" s="89"/>
      <c r="M4" s="30" t="s">
        <v>15</v>
      </c>
      <c r="N4" s="30"/>
      <c r="O4" s="30"/>
      <c r="P4" s="89"/>
      <c r="Q4" s="30"/>
      <c r="R4" s="150" t="s">
        <v>16</v>
      </c>
    </row>
    <row r="5" s="8" customFormat="1" ht="18.6" customHeight="1" spans="1:18">
      <c r="A5" s="19"/>
      <c r="B5" s="20"/>
      <c r="C5" s="21" t="s">
        <v>17</v>
      </c>
      <c r="D5" s="16"/>
      <c r="E5" s="16"/>
      <c r="F5" s="17"/>
      <c r="G5" s="22" t="s">
        <v>18</v>
      </c>
      <c r="H5" s="22" t="s">
        <v>19</v>
      </c>
      <c r="I5" s="22" t="s">
        <v>20</v>
      </c>
      <c r="J5" s="90"/>
      <c r="K5" s="18" t="s">
        <v>21</v>
      </c>
      <c r="L5" s="30"/>
      <c r="M5" s="91" t="s">
        <v>22</v>
      </c>
      <c r="N5" s="91" t="s">
        <v>23</v>
      </c>
      <c r="O5" s="92" t="s">
        <v>24</v>
      </c>
      <c r="P5" s="89"/>
      <c r="Q5" s="23" t="s">
        <v>25</v>
      </c>
      <c r="R5" s="36" t="s">
        <v>26</v>
      </c>
    </row>
    <row r="6" s="8" customFormat="1" ht="18.6" customHeight="1" spans="1:18">
      <c r="A6" s="19"/>
      <c r="B6" s="20"/>
      <c r="C6" s="21"/>
      <c r="D6" s="16"/>
      <c r="E6" s="16"/>
      <c r="F6" s="17"/>
      <c r="G6" s="22" t="s">
        <v>27</v>
      </c>
      <c r="H6" s="22" t="s">
        <v>28</v>
      </c>
      <c r="I6" s="22"/>
      <c r="J6" s="93" t="s">
        <v>29</v>
      </c>
      <c r="K6" s="22" t="s">
        <v>30</v>
      </c>
      <c r="L6" s="94" t="s">
        <v>31</v>
      </c>
      <c r="M6" s="91" t="s">
        <v>32</v>
      </c>
      <c r="N6" s="91"/>
      <c r="O6" s="37" t="s">
        <v>33</v>
      </c>
      <c r="P6" s="37" t="s">
        <v>34</v>
      </c>
      <c r="Q6" s="100" t="s">
        <v>35</v>
      </c>
      <c r="R6" s="22"/>
    </row>
    <row r="7" s="8" customFormat="1" ht="18.6" customHeight="1" spans="1:18">
      <c r="A7" s="19"/>
      <c r="B7" s="20"/>
      <c r="C7" s="21"/>
      <c r="D7" s="16"/>
      <c r="E7" s="16"/>
      <c r="F7" s="17"/>
      <c r="G7" s="22"/>
      <c r="H7" s="22"/>
      <c r="I7" s="22"/>
      <c r="J7" s="90"/>
      <c r="K7" s="51"/>
      <c r="L7" s="44"/>
      <c r="M7" s="95"/>
      <c r="N7" s="51"/>
      <c r="O7" s="51"/>
      <c r="P7" s="51"/>
      <c r="Q7" s="84"/>
      <c r="R7" s="22" t="s">
        <v>36</v>
      </c>
    </row>
    <row r="8" s="8" customFormat="1" ht="8" customHeight="1" spans="1:18">
      <c r="A8" s="19"/>
      <c r="B8" s="20"/>
      <c r="C8" s="21"/>
      <c r="D8" s="16"/>
      <c r="E8" s="16"/>
      <c r="F8" s="17"/>
      <c r="G8" s="22"/>
      <c r="H8" s="22"/>
      <c r="I8" s="22"/>
      <c r="J8" s="90"/>
      <c r="K8" s="95"/>
      <c r="L8" s="95"/>
      <c r="M8" s="95"/>
      <c r="N8" s="95"/>
      <c r="O8" s="95"/>
      <c r="P8" s="95"/>
      <c r="Q8" s="95"/>
      <c r="R8" s="95"/>
    </row>
    <row r="9" s="8" customFormat="1" ht="18.6" customHeight="1" spans="1:18">
      <c r="A9" s="19"/>
      <c r="B9" s="20"/>
      <c r="C9" s="23"/>
      <c r="D9" s="16"/>
      <c r="E9" s="16"/>
      <c r="F9" s="17"/>
      <c r="G9" s="24" t="s">
        <v>37</v>
      </c>
      <c r="H9" s="24" t="s">
        <v>37</v>
      </c>
      <c r="I9" s="24" t="s">
        <v>37</v>
      </c>
      <c r="J9" s="24" t="s">
        <v>37</v>
      </c>
      <c r="K9" s="45" t="s">
        <v>38</v>
      </c>
      <c r="L9" s="45" t="s">
        <v>38</v>
      </c>
      <c r="M9" s="45" t="s">
        <v>39</v>
      </c>
      <c r="N9" s="45" t="s">
        <v>40</v>
      </c>
      <c r="O9" s="45" t="s">
        <v>40</v>
      </c>
      <c r="P9" s="45" t="s">
        <v>40</v>
      </c>
      <c r="Q9" s="45" t="s">
        <v>40</v>
      </c>
      <c r="R9" s="45" t="s">
        <v>40</v>
      </c>
    </row>
    <row r="10" s="8" customFormat="1" ht="18.6" customHeight="1" spans="1:18">
      <c r="A10" s="16">
        <v>1</v>
      </c>
      <c r="B10" s="16">
        <f>A10+1</f>
        <v>2</v>
      </c>
      <c r="C10" s="16">
        <f>B10+1</f>
        <v>3</v>
      </c>
      <c r="D10" s="16">
        <f>C10+1</f>
        <v>4</v>
      </c>
      <c r="E10" s="16">
        <f>D10+1</f>
        <v>5</v>
      </c>
      <c r="F10" s="16">
        <f t="shared" ref="F10:R10" si="0">E10+1</f>
        <v>6</v>
      </c>
      <c r="G10" s="16">
        <f t="shared" si="0"/>
        <v>7</v>
      </c>
      <c r="H10" s="16">
        <f t="shared" si="0"/>
        <v>8</v>
      </c>
      <c r="I10" s="16">
        <f t="shared" si="0"/>
        <v>9</v>
      </c>
      <c r="J10" s="16">
        <f t="shared" si="0"/>
        <v>10</v>
      </c>
      <c r="K10" s="16">
        <f t="shared" si="0"/>
        <v>11</v>
      </c>
      <c r="L10" s="16">
        <f t="shared" si="0"/>
        <v>12</v>
      </c>
      <c r="M10" s="16">
        <f t="shared" ref="M10:R10" si="1">L10+1</f>
        <v>13</v>
      </c>
      <c r="N10" s="16">
        <f t="shared" si="1"/>
        <v>14</v>
      </c>
      <c r="O10" s="16">
        <f t="shared" si="1"/>
        <v>15</v>
      </c>
      <c r="P10" s="16">
        <f t="shared" si="1"/>
        <v>16</v>
      </c>
      <c r="Q10" s="16">
        <f t="shared" si="1"/>
        <v>17</v>
      </c>
      <c r="R10" s="16">
        <f t="shared" si="1"/>
        <v>18</v>
      </c>
    </row>
    <row r="11" s="8" customFormat="1" ht="41" customHeight="1" spans="1:18">
      <c r="A11" s="16">
        <v>1</v>
      </c>
      <c r="B11" s="25" t="s">
        <v>41</v>
      </c>
      <c r="C11" s="25" t="s">
        <v>42</v>
      </c>
      <c r="D11" s="26">
        <v>32</v>
      </c>
      <c r="E11" s="27">
        <v>90</v>
      </c>
      <c r="F11" s="28" t="s">
        <v>43</v>
      </c>
      <c r="G11" s="29">
        <f>32*1</f>
        <v>32</v>
      </c>
      <c r="H11" s="29">
        <f>108*8.5-G11</f>
        <v>886</v>
      </c>
      <c r="I11" s="29">
        <f>2*7.5*0.4</f>
        <v>6</v>
      </c>
      <c r="J11" s="96"/>
      <c r="K11" s="47">
        <f>4*4+7*2+10</f>
        <v>40</v>
      </c>
      <c r="L11" s="47">
        <f>18.975*4+15.1*2-K11</f>
        <v>66.1</v>
      </c>
      <c r="M11" s="47">
        <f>0.65^2*3.14159*(75.9+15.035*2)</f>
        <v>140.65628849675</v>
      </c>
      <c r="N11" s="47">
        <f>449.3*6*3</f>
        <v>8087.4</v>
      </c>
      <c r="O11" s="47">
        <f>8186.2+4000.7*0.51</f>
        <v>10226.557</v>
      </c>
      <c r="P11" s="47">
        <f>109+54.5*0.51</f>
        <v>136.795</v>
      </c>
      <c r="Q11" s="47">
        <f>3497.1+2371.8*0.51</f>
        <v>4706.718</v>
      </c>
      <c r="R11" s="47">
        <f>((L11+K11)*3+0.5*3*6)*1.9</f>
        <v>621.87</v>
      </c>
    </row>
    <row r="12" s="8" customFormat="1" ht="18.6" customHeight="1" spans="14:18">
      <c r="N12" s="97"/>
      <c r="R12" s="97"/>
    </row>
    <row r="13" s="8" customFormat="1" ht="18.6" customHeight="1" spans="1:18">
      <c r="A13" s="13" t="s">
        <v>5</v>
      </c>
      <c r="B13" s="18" t="s">
        <v>44</v>
      </c>
      <c r="C13" s="30"/>
      <c r="D13" s="18"/>
      <c r="E13" s="30"/>
      <c r="F13" s="18"/>
      <c r="G13" s="18"/>
      <c r="H13" s="18"/>
      <c r="I13" s="18"/>
      <c r="J13" s="30"/>
      <c r="K13" s="18"/>
      <c r="L13" s="30"/>
      <c r="M13" s="18"/>
      <c r="N13" s="30"/>
      <c r="O13" s="18"/>
      <c r="P13" s="18"/>
      <c r="Q13" s="30"/>
      <c r="R13" s="30"/>
    </row>
    <row r="14" s="8" customFormat="1" ht="18.6" customHeight="1" spans="1:18">
      <c r="A14" s="19"/>
      <c r="B14" s="31" t="s">
        <v>45</v>
      </c>
      <c r="C14" s="31"/>
      <c r="D14" s="31"/>
      <c r="E14" s="30"/>
      <c r="F14" s="30"/>
      <c r="G14" s="30"/>
      <c r="H14" s="30"/>
      <c r="I14" s="31" t="s">
        <v>46</v>
      </c>
      <c r="J14" s="31"/>
      <c r="K14" s="31"/>
      <c r="L14" s="30"/>
      <c r="M14" s="31" t="s">
        <v>47</v>
      </c>
      <c r="N14" s="31"/>
      <c r="O14" s="31"/>
      <c r="P14" s="18" t="s">
        <v>48</v>
      </c>
      <c r="Q14" s="30"/>
      <c r="R14" s="30"/>
    </row>
    <row r="15" s="8" customFormat="1" ht="18.6" customHeight="1" spans="1:18">
      <c r="A15" s="19"/>
      <c r="B15" s="32" t="s">
        <v>49</v>
      </c>
      <c r="C15" s="18" t="s">
        <v>24</v>
      </c>
      <c r="D15" s="18"/>
      <c r="E15" s="30" t="s">
        <v>49</v>
      </c>
      <c r="F15" s="18" t="s">
        <v>24</v>
      </c>
      <c r="G15" s="18"/>
      <c r="H15" s="18"/>
      <c r="I15" s="32" t="s">
        <v>49</v>
      </c>
      <c r="J15" s="92" t="s">
        <v>24</v>
      </c>
      <c r="K15" s="89"/>
      <c r="L15" s="23" t="s">
        <v>25</v>
      </c>
      <c r="M15" s="32" t="s">
        <v>49</v>
      </c>
      <c r="N15" s="98" t="s">
        <v>24</v>
      </c>
      <c r="O15" s="99"/>
      <c r="P15" s="51" t="s">
        <v>50</v>
      </c>
      <c r="Q15" s="30" t="s">
        <v>24</v>
      </c>
      <c r="R15" s="30"/>
    </row>
    <row r="16" s="8" customFormat="1" ht="18.6" customHeight="1" spans="1:18">
      <c r="A16" s="19"/>
      <c r="B16" s="33" t="s">
        <v>51</v>
      </c>
      <c r="C16" s="34" t="s">
        <v>52</v>
      </c>
      <c r="D16" s="35" t="s">
        <v>53</v>
      </c>
      <c r="E16" s="36" t="s">
        <v>54</v>
      </c>
      <c r="F16" s="37" t="s">
        <v>55</v>
      </c>
      <c r="G16" s="37" t="s">
        <v>56</v>
      </c>
      <c r="H16" s="35" t="s">
        <v>53</v>
      </c>
      <c r="I16" s="40"/>
      <c r="J16" s="37" t="s">
        <v>33</v>
      </c>
      <c r="K16" s="37" t="s">
        <v>34</v>
      </c>
      <c r="L16" s="100" t="s">
        <v>35</v>
      </c>
      <c r="M16" s="101"/>
      <c r="N16" s="34" t="s">
        <v>52</v>
      </c>
      <c r="O16" s="102" t="s">
        <v>57</v>
      </c>
      <c r="P16" s="51"/>
      <c r="Q16" s="37" t="s">
        <v>55</v>
      </c>
      <c r="R16" s="52" t="s">
        <v>58</v>
      </c>
    </row>
    <row r="17" s="8" customFormat="1" ht="18.6" customHeight="1" spans="1:18">
      <c r="A17" s="19"/>
      <c r="B17" s="38"/>
      <c r="C17" s="39"/>
      <c r="D17" s="40"/>
      <c r="E17" s="41"/>
      <c r="F17" s="42"/>
      <c r="G17" s="42"/>
      <c r="H17" s="43"/>
      <c r="I17" s="102"/>
      <c r="J17" s="38"/>
      <c r="K17" s="102"/>
      <c r="L17" s="84"/>
      <c r="M17" s="38"/>
      <c r="N17" s="39"/>
      <c r="O17" s="40"/>
      <c r="P17" s="51"/>
      <c r="Q17" s="51"/>
      <c r="R17" s="51"/>
    </row>
    <row r="18" s="8" customFormat="1" ht="18.6" customHeight="1" spans="1:18">
      <c r="A18" s="19"/>
      <c r="B18" s="44"/>
      <c r="C18" s="42"/>
      <c r="D18" s="42"/>
      <c r="E18" s="44"/>
      <c r="F18" s="42"/>
      <c r="G18" s="42"/>
      <c r="H18" s="43"/>
      <c r="I18" s="40"/>
      <c r="J18" s="101"/>
      <c r="K18" s="40"/>
      <c r="L18" s="95"/>
      <c r="M18" s="103"/>
      <c r="N18" s="104"/>
      <c r="O18" s="104"/>
      <c r="P18" s="51"/>
      <c r="Q18" s="51"/>
      <c r="R18" s="51"/>
    </row>
    <row r="19" s="8" customFormat="1" ht="18.6" customHeight="1" spans="1:18">
      <c r="A19" s="19"/>
      <c r="B19" s="45" t="s">
        <v>39</v>
      </c>
      <c r="C19" s="45" t="s">
        <v>40</v>
      </c>
      <c r="D19" s="45" t="s">
        <v>40</v>
      </c>
      <c r="E19" s="45" t="s">
        <v>39</v>
      </c>
      <c r="F19" s="45" t="s">
        <v>40</v>
      </c>
      <c r="G19" s="45" t="s">
        <v>40</v>
      </c>
      <c r="H19" s="46" t="s">
        <v>40</v>
      </c>
      <c r="I19" s="104" t="s">
        <v>59</v>
      </c>
      <c r="J19" s="104" t="s">
        <v>60</v>
      </c>
      <c r="K19" s="104" t="s">
        <v>60</v>
      </c>
      <c r="L19" s="45" t="s">
        <v>40</v>
      </c>
      <c r="M19" s="103" t="s">
        <v>59</v>
      </c>
      <c r="N19" s="104" t="s">
        <v>60</v>
      </c>
      <c r="O19" s="104" t="s">
        <v>60</v>
      </c>
      <c r="P19" s="45" t="s">
        <v>39</v>
      </c>
      <c r="Q19" s="45" t="s">
        <v>40</v>
      </c>
      <c r="R19" s="45" t="s">
        <v>40</v>
      </c>
    </row>
    <row r="20" s="8" customFormat="1" ht="18.6" customHeight="1" spans="1:18">
      <c r="A20" s="16">
        <v>19</v>
      </c>
      <c r="B20" s="16">
        <f t="shared" ref="B20:R20" si="2">A20+1</f>
        <v>20</v>
      </c>
      <c r="C20" s="16">
        <f t="shared" si="2"/>
        <v>21</v>
      </c>
      <c r="D20" s="16">
        <f t="shared" si="2"/>
        <v>22</v>
      </c>
      <c r="E20" s="16">
        <f t="shared" si="2"/>
        <v>23</v>
      </c>
      <c r="F20" s="16">
        <f t="shared" si="2"/>
        <v>24</v>
      </c>
      <c r="G20" s="16">
        <f t="shared" si="2"/>
        <v>25</v>
      </c>
      <c r="H20" s="16">
        <f t="shared" si="2"/>
        <v>26</v>
      </c>
      <c r="I20" s="16">
        <f t="shared" si="2"/>
        <v>27</v>
      </c>
      <c r="J20" s="16">
        <f t="shared" si="2"/>
        <v>28</v>
      </c>
      <c r="K20" s="16">
        <f t="shared" si="2"/>
        <v>29</v>
      </c>
      <c r="L20" s="16">
        <f t="shared" si="2"/>
        <v>30</v>
      </c>
      <c r="M20" s="16">
        <f t="shared" si="2"/>
        <v>31</v>
      </c>
      <c r="N20" s="16">
        <f t="shared" si="2"/>
        <v>32</v>
      </c>
      <c r="O20" s="16">
        <f t="shared" si="2"/>
        <v>33</v>
      </c>
      <c r="P20" s="16">
        <f t="shared" si="2"/>
        <v>34</v>
      </c>
      <c r="Q20" s="16">
        <f t="shared" si="2"/>
        <v>35</v>
      </c>
      <c r="R20" s="16">
        <f t="shared" si="2"/>
        <v>36</v>
      </c>
    </row>
    <row r="21" s="8" customFormat="1" ht="18.6" customHeight="1" spans="1:18">
      <c r="A21" s="16">
        <v>1</v>
      </c>
      <c r="B21" s="47">
        <f>21.6*2</f>
        <v>43.2</v>
      </c>
      <c r="C21" s="47">
        <f>916.7*2</f>
        <v>1833.4</v>
      </c>
      <c r="D21" s="47">
        <f>1121.1*2</f>
        <v>2242.2</v>
      </c>
      <c r="E21" s="48">
        <f>31.84*2</f>
        <v>63.68</v>
      </c>
      <c r="F21" s="48">
        <f>51.62*2</f>
        <v>103.24</v>
      </c>
      <c r="G21" s="48">
        <f>641.51*2</f>
        <v>1283.02</v>
      </c>
      <c r="H21" s="48">
        <f>567.82*2</f>
        <v>1135.64</v>
      </c>
      <c r="I21" s="47">
        <f>0.65^2*3.14159*9*2</f>
        <v>23.89179195</v>
      </c>
      <c r="J21" s="47">
        <f>4000.7*0.49</f>
        <v>1960.343</v>
      </c>
      <c r="K21" s="47">
        <f>54.5*0.49</f>
        <v>26.705</v>
      </c>
      <c r="L21" s="47">
        <f>2371.8*0.49</f>
        <v>1162.182</v>
      </c>
      <c r="M21" s="47">
        <v>19.2</v>
      </c>
      <c r="N21" s="47">
        <v>992.9</v>
      </c>
      <c r="O21" s="47">
        <v>178.8</v>
      </c>
      <c r="P21" s="48">
        <v>0.9</v>
      </c>
      <c r="Q21" s="48">
        <f>238.1+190.5</f>
        <v>428.6</v>
      </c>
      <c r="R21" s="151">
        <f>45+33.2</f>
        <v>78.2</v>
      </c>
    </row>
    <row r="22" s="8" customFormat="1" ht="18.6" customHeight="1" spans="5:10">
      <c r="E22" s="49"/>
      <c r="J22" s="97"/>
    </row>
    <row r="23" s="8" customFormat="1" ht="18.6" customHeight="1" spans="1:18">
      <c r="A23" s="13" t="s">
        <v>5</v>
      </c>
      <c r="B23" s="18" t="s">
        <v>44</v>
      </c>
      <c r="C23" s="18"/>
      <c r="D23" s="18"/>
      <c r="E23" s="50"/>
      <c r="F23" s="18" t="s">
        <v>61</v>
      </c>
      <c r="G23" s="30"/>
      <c r="H23" s="30"/>
      <c r="I23" s="18"/>
      <c r="J23" s="30"/>
      <c r="K23" s="18"/>
      <c r="L23" s="30"/>
      <c r="M23" s="30"/>
      <c r="N23" s="18"/>
      <c r="O23" s="30"/>
      <c r="P23" s="30" t="s">
        <v>62</v>
      </c>
      <c r="Q23" s="18"/>
      <c r="R23" s="30"/>
    </row>
    <row r="24" s="8" customFormat="1" ht="18.6" customHeight="1" spans="1:18">
      <c r="A24" s="19"/>
      <c r="B24" s="18" t="s">
        <v>63</v>
      </c>
      <c r="C24" s="18"/>
      <c r="D24" s="18" t="s">
        <v>64</v>
      </c>
      <c r="E24" s="18"/>
      <c r="F24" s="18" t="s">
        <v>65</v>
      </c>
      <c r="G24" s="30"/>
      <c r="H24" s="30"/>
      <c r="I24" s="18"/>
      <c r="J24" s="30"/>
      <c r="K24" s="18"/>
      <c r="L24" s="30"/>
      <c r="M24" s="30" t="s">
        <v>66</v>
      </c>
      <c r="N24" s="18"/>
      <c r="O24" s="18"/>
      <c r="P24" s="18" t="s">
        <v>67</v>
      </c>
      <c r="Q24" s="18"/>
      <c r="R24" s="30"/>
    </row>
    <row r="25" s="8" customFormat="1" ht="18.6" customHeight="1" spans="1:18">
      <c r="A25" s="19"/>
      <c r="B25" s="51" t="s">
        <v>68</v>
      </c>
      <c r="C25" s="18" t="s">
        <v>25</v>
      </c>
      <c r="D25" s="18" t="s">
        <v>24</v>
      </c>
      <c r="E25" s="18" t="s">
        <v>69</v>
      </c>
      <c r="F25" s="20" t="s">
        <v>70</v>
      </c>
      <c r="G25" s="30" t="s">
        <v>24</v>
      </c>
      <c r="H25" s="30"/>
      <c r="I25" s="30"/>
      <c r="J25" s="30"/>
      <c r="K25" s="18" t="s">
        <v>25</v>
      </c>
      <c r="L25" s="23" t="s">
        <v>71</v>
      </c>
      <c r="M25" s="105" t="s">
        <v>72</v>
      </c>
      <c r="N25" s="19" t="s">
        <v>73</v>
      </c>
      <c r="O25" s="56" t="s">
        <v>24</v>
      </c>
      <c r="P25" s="19" t="s">
        <v>74</v>
      </c>
      <c r="Q25" s="21" t="s">
        <v>75</v>
      </c>
      <c r="R25" s="56" t="s">
        <v>24</v>
      </c>
    </row>
    <row r="26" s="8" customFormat="1" ht="18.6" customHeight="1" spans="1:18">
      <c r="A26" s="19"/>
      <c r="B26" s="51"/>
      <c r="C26" s="52" t="s">
        <v>76</v>
      </c>
      <c r="D26" s="37" t="s">
        <v>77</v>
      </c>
      <c r="E26" s="37"/>
      <c r="F26" s="20" t="s">
        <v>78</v>
      </c>
      <c r="G26" s="37" t="s">
        <v>33</v>
      </c>
      <c r="H26" s="37" t="s">
        <v>79</v>
      </c>
      <c r="I26" s="37" t="s">
        <v>77</v>
      </c>
      <c r="J26" s="37" t="s">
        <v>53</v>
      </c>
      <c r="K26" s="52" t="s">
        <v>76</v>
      </c>
      <c r="L26" s="52" t="s">
        <v>80</v>
      </c>
      <c r="M26" s="19" t="s">
        <v>81</v>
      </c>
      <c r="N26" s="19"/>
      <c r="O26" s="37" t="s">
        <v>55</v>
      </c>
      <c r="P26" s="19"/>
      <c r="Q26" s="21" t="s">
        <v>82</v>
      </c>
      <c r="R26" s="37" t="s">
        <v>56</v>
      </c>
    </row>
    <row r="27" s="8" customFormat="1" ht="18.6" customHeight="1" spans="1:18">
      <c r="A27" s="19"/>
      <c r="B27" s="42"/>
      <c r="C27" s="51"/>
      <c r="D27" s="51"/>
      <c r="E27" s="51"/>
      <c r="F27" s="20"/>
      <c r="G27" s="53"/>
      <c r="H27" s="51"/>
      <c r="I27" s="51"/>
      <c r="J27" s="51"/>
      <c r="K27" s="21"/>
      <c r="L27" s="21" t="s">
        <v>83</v>
      </c>
      <c r="M27" s="19"/>
      <c r="N27" s="19"/>
      <c r="O27" s="83"/>
      <c r="P27" s="19"/>
      <c r="Q27" s="21"/>
      <c r="R27" s="21"/>
    </row>
    <row r="28" s="8" customFormat="1" ht="18.6" customHeight="1" spans="1:18">
      <c r="A28" s="19"/>
      <c r="B28" s="42"/>
      <c r="C28" s="42"/>
      <c r="D28" s="42"/>
      <c r="E28" s="42"/>
      <c r="F28" s="20"/>
      <c r="G28" s="20"/>
      <c r="H28" s="51"/>
      <c r="I28" s="51"/>
      <c r="J28" s="51"/>
      <c r="K28" s="21"/>
      <c r="L28" s="21"/>
      <c r="M28" s="106"/>
      <c r="N28" s="19"/>
      <c r="O28" s="19"/>
      <c r="P28" s="19"/>
      <c r="Q28" s="21"/>
      <c r="R28" s="21"/>
    </row>
    <row r="29" s="8" customFormat="1" ht="18.6" customHeight="1" spans="1:18">
      <c r="A29" s="19"/>
      <c r="B29" s="45" t="s">
        <v>40</v>
      </c>
      <c r="C29" s="45" t="s">
        <v>40</v>
      </c>
      <c r="D29" s="45" t="s">
        <v>40</v>
      </c>
      <c r="E29" s="45" t="s">
        <v>40</v>
      </c>
      <c r="F29" s="45" t="s">
        <v>84</v>
      </c>
      <c r="G29" s="45"/>
      <c r="H29" s="45" t="s">
        <v>40</v>
      </c>
      <c r="I29" s="45" t="s">
        <v>40</v>
      </c>
      <c r="J29" s="45" t="s">
        <v>40</v>
      </c>
      <c r="K29" s="45" t="s">
        <v>40</v>
      </c>
      <c r="L29" s="45" t="s">
        <v>85</v>
      </c>
      <c r="M29" s="45" t="s">
        <v>86</v>
      </c>
      <c r="N29" s="45" t="s">
        <v>40</v>
      </c>
      <c r="O29" s="45" t="s">
        <v>40</v>
      </c>
      <c r="P29" s="45" t="s">
        <v>39</v>
      </c>
      <c r="Q29" s="45" t="s">
        <v>87</v>
      </c>
      <c r="R29" s="45" t="s">
        <v>40</v>
      </c>
    </row>
    <row r="30" s="8" customFormat="1" ht="18.6" customHeight="1" spans="1:18">
      <c r="A30" s="16">
        <v>37</v>
      </c>
      <c r="B30" s="16">
        <f t="shared" ref="B30:R30" si="3">A30+1</f>
        <v>38</v>
      </c>
      <c r="C30" s="16">
        <f t="shared" si="3"/>
        <v>39</v>
      </c>
      <c r="D30" s="16">
        <f t="shared" si="3"/>
        <v>40</v>
      </c>
      <c r="E30" s="16">
        <f t="shared" si="3"/>
        <v>41</v>
      </c>
      <c r="F30" s="16">
        <f t="shared" si="3"/>
        <v>42</v>
      </c>
      <c r="G30" s="16">
        <f t="shared" si="3"/>
        <v>43</v>
      </c>
      <c r="H30" s="16">
        <f t="shared" si="3"/>
        <v>44</v>
      </c>
      <c r="I30" s="16">
        <f t="shared" si="3"/>
        <v>45</v>
      </c>
      <c r="J30" s="16">
        <f t="shared" si="3"/>
        <v>46</v>
      </c>
      <c r="K30" s="16">
        <f t="shared" si="3"/>
        <v>47</v>
      </c>
      <c r="L30" s="16">
        <f t="shared" si="3"/>
        <v>48</v>
      </c>
      <c r="M30" s="16">
        <f t="shared" si="3"/>
        <v>49</v>
      </c>
      <c r="N30" s="16">
        <f t="shared" si="3"/>
        <v>50</v>
      </c>
      <c r="O30" s="16">
        <f t="shared" si="3"/>
        <v>51</v>
      </c>
      <c r="P30" s="16">
        <f t="shared" si="3"/>
        <v>52</v>
      </c>
      <c r="Q30" s="16">
        <f t="shared" si="3"/>
        <v>53</v>
      </c>
      <c r="R30" s="16">
        <f t="shared" si="3"/>
        <v>54</v>
      </c>
    </row>
    <row r="31" s="8" customFormat="1" ht="18.6" customHeight="1" spans="1:18">
      <c r="A31" s="16">
        <v>1</v>
      </c>
      <c r="B31" s="54">
        <v>1</v>
      </c>
      <c r="C31" s="48">
        <v>1189</v>
      </c>
      <c r="D31" s="48">
        <f>2.65*6*4</f>
        <v>63.6</v>
      </c>
      <c r="E31" s="48">
        <f>1.99*6*4</f>
        <v>47.76</v>
      </c>
      <c r="F31" s="26">
        <f>56.4*2</f>
        <v>112.8</v>
      </c>
      <c r="G31" s="26">
        <f>8996.67*2</f>
        <v>17993.34</v>
      </c>
      <c r="H31" s="55">
        <f>802.45*2</f>
        <v>1604.9</v>
      </c>
      <c r="I31" s="55">
        <f>2549.45*2</f>
        <v>5098.9</v>
      </c>
      <c r="J31" s="55">
        <f>4522.58*2</f>
        <v>9045.16</v>
      </c>
      <c r="K31" s="107">
        <f>466.9*2</f>
        <v>933.8</v>
      </c>
      <c r="L31" s="55">
        <f>167.4*2</f>
        <v>334.8</v>
      </c>
      <c r="M31" s="108" t="s">
        <v>88</v>
      </c>
      <c r="N31" s="55">
        <f>19.23*28</f>
        <v>538.44</v>
      </c>
      <c r="O31" s="55">
        <f>3.71*28</f>
        <v>103.88</v>
      </c>
      <c r="P31" s="55">
        <v>50.6</v>
      </c>
      <c r="Q31" s="55">
        <v>270</v>
      </c>
      <c r="R31" s="55">
        <v>236.45</v>
      </c>
    </row>
    <row r="32" s="8" customFormat="1" ht="18.6" customHeight="1"/>
    <row r="33" s="8" customFormat="1" ht="18.5" customHeight="1" spans="1:18">
      <c r="A33" s="13" t="s">
        <v>5</v>
      </c>
      <c r="B33" s="30" t="s">
        <v>62</v>
      </c>
      <c r="C33" s="30"/>
      <c r="D33" s="30"/>
      <c r="E33" s="18"/>
      <c r="F33" s="18"/>
      <c r="G33" s="30"/>
      <c r="H33" s="30"/>
      <c r="I33" s="30"/>
      <c r="J33" s="30"/>
      <c r="K33" s="18"/>
      <c r="L33" s="30"/>
      <c r="M33" s="18"/>
      <c r="N33" s="30"/>
      <c r="O33" s="18"/>
      <c r="P33" s="18"/>
      <c r="Q33" s="18"/>
      <c r="R33" s="30"/>
    </row>
    <row r="34" s="8" customFormat="1" ht="18.5" customHeight="1" spans="1:18">
      <c r="A34" s="19"/>
      <c r="B34" s="18" t="s">
        <v>67</v>
      </c>
      <c r="C34" s="30"/>
      <c r="D34" s="18"/>
      <c r="E34" s="30" t="s">
        <v>89</v>
      </c>
      <c r="F34" s="18"/>
      <c r="G34" s="18"/>
      <c r="H34" s="18"/>
      <c r="I34" s="18"/>
      <c r="J34" s="30" t="s">
        <v>90</v>
      </c>
      <c r="K34" s="18"/>
      <c r="L34" s="18"/>
      <c r="M34" s="30"/>
      <c r="N34" s="30" t="s">
        <v>91</v>
      </c>
      <c r="O34" s="18"/>
      <c r="P34" s="18"/>
      <c r="Q34" s="30"/>
      <c r="R34" s="61" t="s">
        <v>92</v>
      </c>
    </row>
    <row r="35" s="8" customFormat="1" ht="18.5" customHeight="1" spans="1:18">
      <c r="A35" s="19"/>
      <c r="B35" s="56" t="s">
        <v>24</v>
      </c>
      <c r="C35" s="56" t="s">
        <v>24</v>
      </c>
      <c r="D35" s="21" t="s">
        <v>93</v>
      </c>
      <c r="E35" s="13" t="s">
        <v>94</v>
      </c>
      <c r="F35" s="57" t="s">
        <v>24</v>
      </c>
      <c r="G35" s="58"/>
      <c r="H35" s="58" t="s">
        <v>95</v>
      </c>
      <c r="I35" s="58"/>
      <c r="J35" s="91" t="s">
        <v>96</v>
      </c>
      <c r="K35" s="56" t="s">
        <v>24</v>
      </c>
      <c r="L35" s="21" t="s">
        <v>97</v>
      </c>
      <c r="M35" s="21" t="s">
        <v>98</v>
      </c>
      <c r="N35" s="51" t="s">
        <v>70</v>
      </c>
      <c r="O35" s="18" t="s">
        <v>24</v>
      </c>
      <c r="P35" s="18"/>
      <c r="Q35" s="30"/>
      <c r="R35" s="36" t="s">
        <v>99</v>
      </c>
    </row>
    <row r="36" s="8" customFormat="1" ht="18.5" customHeight="1" spans="1:18">
      <c r="A36" s="19"/>
      <c r="B36" s="37" t="s">
        <v>53</v>
      </c>
      <c r="C36" s="37" t="s">
        <v>100</v>
      </c>
      <c r="D36" s="21" t="s">
        <v>101</v>
      </c>
      <c r="E36" s="19"/>
      <c r="F36" s="37" t="s">
        <v>34</v>
      </c>
      <c r="G36" s="37" t="s">
        <v>100</v>
      </c>
      <c r="H36" s="19" t="s">
        <v>102</v>
      </c>
      <c r="I36" s="51" t="s">
        <v>103</v>
      </c>
      <c r="J36" s="51"/>
      <c r="K36" s="37" t="s">
        <v>104</v>
      </c>
      <c r="L36" s="21"/>
      <c r="M36" s="21"/>
      <c r="N36" s="21" t="s">
        <v>105</v>
      </c>
      <c r="O36" s="37" t="s">
        <v>79</v>
      </c>
      <c r="P36" s="37" t="s">
        <v>34</v>
      </c>
      <c r="Q36" s="37" t="s">
        <v>106</v>
      </c>
      <c r="R36" s="22" t="s">
        <v>107</v>
      </c>
    </row>
    <row r="37" s="8" customFormat="1" ht="18.5" customHeight="1" spans="1:18">
      <c r="A37" s="19"/>
      <c r="B37" s="21"/>
      <c r="C37" s="21"/>
      <c r="D37" s="21"/>
      <c r="E37" s="19"/>
      <c r="F37" s="19"/>
      <c r="G37" s="51"/>
      <c r="H37" s="19"/>
      <c r="I37" s="51" t="s">
        <v>108</v>
      </c>
      <c r="J37" s="21"/>
      <c r="K37" s="21"/>
      <c r="L37" s="21"/>
      <c r="M37" s="21"/>
      <c r="N37" s="21"/>
      <c r="P37" s="21"/>
      <c r="Q37" s="42"/>
      <c r="R37" s="21" t="s">
        <v>109</v>
      </c>
    </row>
    <row r="38" s="8" customFormat="1" ht="18.5" customHeight="1" spans="1:18">
      <c r="A38" s="19"/>
      <c r="B38" s="21"/>
      <c r="C38" s="21"/>
      <c r="D38" s="21"/>
      <c r="E38" s="19"/>
      <c r="F38" s="19"/>
      <c r="G38" s="51"/>
      <c r="H38" s="51"/>
      <c r="I38" s="51"/>
      <c r="J38" s="21"/>
      <c r="K38" s="21"/>
      <c r="L38" s="21"/>
      <c r="M38" s="21"/>
      <c r="N38" s="21"/>
      <c r="P38" s="21"/>
      <c r="Q38" s="42"/>
      <c r="R38" s="21"/>
    </row>
    <row r="39" s="8" customFormat="1" ht="18.5" customHeight="1" spans="1:18">
      <c r="A39" s="19"/>
      <c r="B39" s="45" t="s">
        <v>40</v>
      </c>
      <c r="C39" s="45" t="s">
        <v>40</v>
      </c>
      <c r="D39" s="45" t="s">
        <v>40</v>
      </c>
      <c r="E39" s="45" t="s">
        <v>39</v>
      </c>
      <c r="F39" s="45" t="s">
        <v>40</v>
      </c>
      <c r="G39" s="45" t="s">
        <v>40</v>
      </c>
      <c r="H39" s="45" t="s">
        <v>40</v>
      </c>
      <c r="I39" s="24" t="s">
        <v>110</v>
      </c>
      <c r="J39" s="45" t="s">
        <v>111</v>
      </c>
      <c r="K39" s="45" t="s">
        <v>40</v>
      </c>
      <c r="L39" s="45" t="s">
        <v>39</v>
      </c>
      <c r="M39" s="45" t="s">
        <v>85</v>
      </c>
      <c r="N39" s="45" t="s">
        <v>39</v>
      </c>
      <c r="O39" s="45" t="s">
        <v>40</v>
      </c>
      <c r="P39" s="45" t="s">
        <v>40</v>
      </c>
      <c r="Q39" s="45" t="s">
        <v>40</v>
      </c>
      <c r="R39" s="24" t="s">
        <v>110</v>
      </c>
    </row>
    <row r="40" s="8" customFormat="1" ht="18.5" customHeight="1" spans="1:18">
      <c r="A40" s="16">
        <v>55</v>
      </c>
      <c r="B40" s="16">
        <f t="shared" ref="B40:R40" si="4">A40+1</f>
        <v>56</v>
      </c>
      <c r="C40" s="16">
        <f t="shared" si="4"/>
        <v>57</v>
      </c>
      <c r="D40" s="16">
        <f t="shared" si="4"/>
        <v>58</v>
      </c>
      <c r="E40" s="16">
        <f t="shared" si="4"/>
        <v>59</v>
      </c>
      <c r="F40" s="16">
        <f t="shared" si="4"/>
        <v>60</v>
      </c>
      <c r="G40" s="16">
        <f t="shared" si="4"/>
        <v>61</v>
      </c>
      <c r="H40" s="16">
        <f t="shared" si="4"/>
        <v>62</v>
      </c>
      <c r="I40" s="16">
        <f t="shared" si="4"/>
        <v>63</v>
      </c>
      <c r="J40" s="16">
        <f t="shared" si="4"/>
        <v>64</v>
      </c>
      <c r="K40" s="16">
        <f t="shared" si="4"/>
        <v>65</v>
      </c>
      <c r="L40" s="16">
        <f t="shared" si="4"/>
        <v>66</v>
      </c>
      <c r="M40" s="16">
        <f t="shared" si="4"/>
        <v>67</v>
      </c>
      <c r="N40" s="16">
        <f t="shared" si="4"/>
        <v>68</v>
      </c>
      <c r="O40" s="16">
        <f t="shared" si="4"/>
        <v>69</v>
      </c>
      <c r="P40" s="16">
        <f t="shared" si="4"/>
        <v>70</v>
      </c>
      <c r="Q40" s="16">
        <f t="shared" si="4"/>
        <v>71</v>
      </c>
      <c r="R40" s="16">
        <f t="shared" si="4"/>
        <v>72</v>
      </c>
    </row>
    <row r="41" s="8" customFormat="1" ht="18.5" customHeight="1" spans="1:18">
      <c r="A41" s="16">
        <v>1</v>
      </c>
      <c r="B41" s="55">
        <v>186.1</v>
      </c>
      <c r="C41" s="55">
        <v>91.81</v>
      </c>
      <c r="D41" s="55">
        <v>5271.8</v>
      </c>
      <c r="E41" s="55">
        <f>0.325*32*2</f>
        <v>20.8</v>
      </c>
      <c r="F41" s="55">
        <f>67.43*32*2</f>
        <v>4315.52</v>
      </c>
      <c r="G41" s="55">
        <f>14.21*32*2</f>
        <v>909.44</v>
      </c>
      <c r="H41" s="55">
        <f>24.2*2</f>
        <v>48.4</v>
      </c>
      <c r="I41" s="55">
        <f>5*2</f>
        <v>10</v>
      </c>
      <c r="J41" s="86" t="s">
        <v>112</v>
      </c>
      <c r="K41" s="109">
        <f>210.47*2</f>
        <v>420.94</v>
      </c>
      <c r="L41" s="109">
        <f>1.18*2</f>
        <v>2.36</v>
      </c>
      <c r="M41" s="109">
        <f>7.5*2</f>
        <v>15</v>
      </c>
      <c r="N41" s="110">
        <f>17.2*2</f>
        <v>34.4</v>
      </c>
      <c r="O41" s="111">
        <f>629.9*2</f>
        <v>1259.8</v>
      </c>
      <c r="P41" s="111">
        <f>1340.6*2</f>
        <v>2681.2</v>
      </c>
      <c r="Q41" s="111" t="s">
        <v>113</v>
      </c>
      <c r="R41" s="25">
        <v>12</v>
      </c>
    </row>
    <row r="42" s="8" customFormat="1" ht="20" customHeight="1" spans="1:18">
      <c r="A42" s="8" t="s">
        <v>114</v>
      </c>
      <c r="B42" s="12"/>
      <c r="I42" s="112" t="s">
        <v>115</v>
      </c>
      <c r="J42" s="12"/>
      <c r="Q42" s="112" t="s">
        <v>116</v>
      </c>
      <c r="R42" s="12"/>
    </row>
    <row r="43" s="8" customFormat="1" ht="30" customHeight="1" spans="1:18">
      <c r="A43" s="10" t="str">
        <f>$A$1</f>
        <v>桥梁工程数量表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8" t="str">
        <f>R1</f>
        <v>SⅣ-1</v>
      </c>
    </row>
    <row r="44" s="8" customFormat="1" ht="18.5" customHeight="1" spans="1:18">
      <c r="A44" s="11" t="s">
        <v>2</v>
      </c>
      <c r="B44" s="11"/>
      <c r="C44" s="11"/>
      <c r="D44" s="11"/>
      <c r="E44" s="11"/>
      <c r="F44" s="11"/>
      <c r="G44" s="12" t="s">
        <v>3</v>
      </c>
      <c r="J44" s="12"/>
      <c r="R44" s="8" t="s">
        <v>117</v>
      </c>
    </row>
    <row r="45" s="8" customFormat="1" ht="18.5" customHeight="1" spans="1:18">
      <c r="A45" s="13" t="s">
        <v>5</v>
      </c>
      <c r="B45" s="18" t="s">
        <v>118</v>
      </c>
      <c r="C45" s="18"/>
      <c r="D45" s="18"/>
      <c r="E45" s="18"/>
      <c r="F45" s="18"/>
      <c r="G45" s="59" t="s">
        <v>119</v>
      </c>
      <c r="H45" s="60"/>
      <c r="I45" s="60"/>
      <c r="J45" s="59"/>
      <c r="K45" s="113"/>
      <c r="L45" s="60"/>
      <c r="M45" s="59"/>
      <c r="N45" s="60"/>
      <c r="O45" s="60"/>
      <c r="P45" s="60"/>
      <c r="Q45" s="113"/>
      <c r="R45" s="113"/>
    </row>
    <row r="46" s="8" customFormat="1" ht="18.5" customHeight="1" spans="1:18">
      <c r="A46" s="19"/>
      <c r="B46" s="61" t="s">
        <v>92</v>
      </c>
      <c r="C46" s="58" t="s">
        <v>120</v>
      </c>
      <c r="D46" s="58"/>
      <c r="E46" s="18" t="s">
        <v>121</v>
      </c>
      <c r="F46" s="30"/>
      <c r="G46" s="62" t="s">
        <v>122</v>
      </c>
      <c r="H46" s="62"/>
      <c r="I46" s="113"/>
      <c r="J46" s="62"/>
      <c r="K46" s="114"/>
      <c r="L46" s="114"/>
      <c r="M46" s="113"/>
      <c r="N46" s="62"/>
      <c r="O46" s="115"/>
      <c r="P46" s="115"/>
      <c r="Q46" s="114"/>
      <c r="R46" s="152"/>
    </row>
    <row r="47" s="8" customFormat="1" ht="18.5" customHeight="1" spans="1:18">
      <c r="A47" s="19"/>
      <c r="B47" s="36" t="s">
        <v>123</v>
      </c>
      <c r="C47" s="63" t="s">
        <v>124</v>
      </c>
      <c r="D47" s="63" t="s">
        <v>125</v>
      </c>
      <c r="E47" s="64" t="s">
        <v>126</v>
      </c>
      <c r="F47" s="13" t="s">
        <v>127</v>
      </c>
      <c r="G47" s="65" t="s">
        <v>128</v>
      </c>
      <c r="H47" s="65"/>
      <c r="I47" s="65"/>
      <c r="J47" s="65"/>
      <c r="K47" s="65"/>
      <c r="L47" s="65" t="s">
        <v>129</v>
      </c>
      <c r="M47" s="65"/>
      <c r="N47" s="65"/>
      <c r="O47" s="65"/>
      <c r="P47" s="65"/>
      <c r="Q47" s="65"/>
      <c r="R47" s="65"/>
    </row>
    <row r="48" s="8" customFormat="1" ht="18.5" customHeight="1" spans="1:18">
      <c r="A48" s="19"/>
      <c r="B48" s="22" t="s">
        <v>130</v>
      </c>
      <c r="C48" s="63" t="s">
        <v>131</v>
      </c>
      <c r="D48" s="63" t="s">
        <v>132</v>
      </c>
      <c r="E48" s="63" t="s">
        <v>133</v>
      </c>
      <c r="F48" s="19"/>
      <c r="G48" s="66" t="s">
        <v>134</v>
      </c>
      <c r="H48" s="13" t="s">
        <v>135</v>
      </c>
      <c r="I48" s="13" t="s">
        <v>136</v>
      </c>
      <c r="J48" s="13" t="s">
        <v>137</v>
      </c>
      <c r="K48" s="13" t="s">
        <v>138</v>
      </c>
      <c r="L48" s="13" t="s">
        <v>139</v>
      </c>
      <c r="M48" s="13" t="s">
        <v>140</v>
      </c>
      <c r="N48" s="116" t="s">
        <v>141</v>
      </c>
      <c r="O48" s="116" t="s">
        <v>142</v>
      </c>
      <c r="P48" s="13" t="s">
        <v>143</v>
      </c>
      <c r="Q48" s="13" t="s">
        <v>144</v>
      </c>
      <c r="R48" s="13" t="s">
        <v>145</v>
      </c>
    </row>
    <row r="49" s="8" customFormat="1" ht="18.5" customHeight="1" spans="1:18">
      <c r="A49" s="19"/>
      <c r="B49" s="21"/>
      <c r="C49" s="63"/>
      <c r="D49" s="67"/>
      <c r="E49" s="63"/>
      <c r="F49" s="21"/>
      <c r="G49" s="68"/>
      <c r="H49" s="19"/>
      <c r="I49" s="19"/>
      <c r="J49" s="19"/>
      <c r="K49" s="19"/>
      <c r="L49" s="19"/>
      <c r="M49" s="19"/>
      <c r="N49" s="117"/>
      <c r="O49" s="117"/>
      <c r="P49" s="83"/>
      <c r="Q49" s="153" t="s">
        <v>146</v>
      </c>
      <c r="R49" s="19" t="s">
        <v>103</v>
      </c>
    </row>
    <row r="50" s="8" customFormat="1" ht="18.5" customHeight="1" spans="1:18">
      <c r="A50" s="19"/>
      <c r="B50" s="21"/>
      <c r="C50" s="67"/>
      <c r="D50" s="67"/>
      <c r="E50" s="63"/>
      <c r="F50" s="21"/>
      <c r="G50" s="68"/>
      <c r="H50" s="69"/>
      <c r="I50" s="118"/>
      <c r="J50" s="118"/>
      <c r="K50" s="119"/>
      <c r="L50" s="83"/>
      <c r="M50" s="120"/>
      <c r="N50" s="121"/>
      <c r="O50" s="122"/>
      <c r="P50" s="83"/>
      <c r="Q50" s="153" t="s">
        <v>147</v>
      </c>
      <c r="R50" s="83"/>
    </row>
    <row r="51" s="8" customFormat="1" ht="18.5" customHeight="1" spans="1:18">
      <c r="A51" s="19"/>
      <c r="B51" s="24" t="s">
        <v>85</v>
      </c>
      <c r="C51" s="70" t="s">
        <v>37</v>
      </c>
      <c r="D51" s="70" t="s">
        <v>37</v>
      </c>
      <c r="E51" s="71" t="s">
        <v>37</v>
      </c>
      <c r="F51" s="71" t="s">
        <v>37</v>
      </c>
      <c r="G51" s="72" t="s">
        <v>40</v>
      </c>
      <c r="H51" s="72" t="s">
        <v>40</v>
      </c>
      <c r="I51" s="72" t="s">
        <v>40</v>
      </c>
      <c r="J51" s="72" t="s">
        <v>40</v>
      </c>
      <c r="K51" s="45" t="s">
        <v>87</v>
      </c>
      <c r="L51" s="72" t="s">
        <v>40</v>
      </c>
      <c r="M51" s="72" t="s">
        <v>40</v>
      </c>
      <c r="N51" s="72" t="s">
        <v>40</v>
      </c>
      <c r="O51" s="72" t="s">
        <v>40</v>
      </c>
      <c r="P51" s="72" t="s">
        <v>40</v>
      </c>
      <c r="Q51" s="45" t="s">
        <v>40</v>
      </c>
      <c r="R51" s="45" t="s">
        <v>40</v>
      </c>
    </row>
    <row r="52" s="8" customFormat="1" ht="18.5" customHeight="1" spans="1:18">
      <c r="A52" s="16">
        <v>73</v>
      </c>
      <c r="B52" s="16">
        <f t="shared" ref="B52:R52" si="5">A52+1</f>
        <v>74</v>
      </c>
      <c r="C52" s="16">
        <f t="shared" si="5"/>
        <v>75</v>
      </c>
      <c r="D52" s="16">
        <f t="shared" si="5"/>
        <v>76</v>
      </c>
      <c r="E52" s="16">
        <f t="shared" si="5"/>
        <v>77</v>
      </c>
      <c r="F52" s="16">
        <f t="shared" si="5"/>
        <v>78</v>
      </c>
      <c r="G52" s="16">
        <f t="shared" si="5"/>
        <v>79</v>
      </c>
      <c r="H52" s="16">
        <f t="shared" si="5"/>
        <v>80</v>
      </c>
      <c r="I52" s="16">
        <f t="shared" si="5"/>
        <v>81</v>
      </c>
      <c r="J52" s="16">
        <f t="shared" si="5"/>
        <v>82</v>
      </c>
      <c r="K52" s="16">
        <f t="shared" si="5"/>
        <v>83</v>
      </c>
      <c r="L52" s="16">
        <f t="shared" si="5"/>
        <v>84</v>
      </c>
      <c r="M52" s="16">
        <f t="shared" si="5"/>
        <v>85</v>
      </c>
      <c r="N52" s="16">
        <f t="shared" si="5"/>
        <v>86</v>
      </c>
      <c r="O52" s="16">
        <f t="shared" si="5"/>
        <v>87</v>
      </c>
      <c r="P52" s="16">
        <f t="shared" si="5"/>
        <v>88</v>
      </c>
      <c r="Q52" s="16">
        <f t="shared" si="5"/>
        <v>89</v>
      </c>
      <c r="R52" s="16">
        <f t="shared" si="5"/>
        <v>90</v>
      </c>
    </row>
    <row r="53" s="8" customFormat="1" ht="18.5" customHeight="1" spans="1:18">
      <c r="A53" s="16">
        <v>1</v>
      </c>
      <c r="B53" s="25">
        <v>10.8</v>
      </c>
      <c r="C53" s="73">
        <f>(1.65+4.16)*8.5*0.15</f>
        <v>7.40775</v>
      </c>
      <c r="D53" s="74">
        <f>C53/1.5</f>
        <v>4.9385</v>
      </c>
      <c r="E53" s="73">
        <v>30.5</v>
      </c>
      <c r="F53" s="73">
        <v>9.81</v>
      </c>
      <c r="G53" s="75">
        <v>16.29</v>
      </c>
      <c r="H53" s="76">
        <v>3.36</v>
      </c>
      <c r="I53" s="76" t="s">
        <v>148</v>
      </c>
      <c r="J53" s="123" t="s">
        <v>149</v>
      </c>
      <c r="K53" s="124">
        <v>2.01</v>
      </c>
      <c r="L53" s="123">
        <v>152.13</v>
      </c>
      <c r="M53" s="123">
        <v>0.42</v>
      </c>
      <c r="N53" s="123">
        <v>35.17</v>
      </c>
      <c r="O53" s="123">
        <v>18.84</v>
      </c>
      <c r="P53" s="123">
        <v>15.07</v>
      </c>
      <c r="Q53" s="123">
        <v>15.2</v>
      </c>
      <c r="R53" s="76">
        <v>0.72</v>
      </c>
    </row>
    <row r="54" s="8" customFormat="1" ht="18.5" customHeight="1" spans="1:1">
      <c r="A54" s="77"/>
    </row>
    <row r="55" s="8" customFormat="1" ht="18.5" customHeight="1" spans="1:18">
      <c r="A55" s="13" t="s">
        <v>5</v>
      </c>
      <c r="B55" s="59" t="s">
        <v>119</v>
      </c>
      <c r="C55" s="60"/>
      <c r="D55" s="59"/>
      <c r="E55" s="60"/>
      <c r="F55" s="18"/>
      <c r="G55" s="59"/>
      <c r="H55" s="60"/>
      <c r="I55" s="60"/>
      <c r="J55" s="59"/>
      <c r="K55" s="18"/>
      <c r="L55" s="125" t="s">
        <v>150</v>
      </c>
      <c r="M55" s="125"/>
      <c r="N55" s="30"/>
      <c r="O55" s="18"/>
      <c r="P55" s="126"/>
      <c r="Q55" s="18"/>
      <c r="R55" s="154"/>
    </row>
    <row r="56" s="8" customFormat="1" ht="18.5" customHeight="1" spans="1:18">
      <c r="A56" s="19"/>
      <c r="B56" s="62" t="s">
        <v>122</v>
      </c>
      <c r="C56" s="60"/>
      <c r="D56" s="62"/>
      <c r="E56" s="62"/>
      <c r="F56" s="78"/>
      <c r="G56" s="79"/>
      <c r="H56" s="80" t="s">
        <v>151</v>
      </c>
      <c r="I56" s="80"/>
      <c r="J56" s="13" t="s">
        <v>152</v>
      </c>
      <c r="K56" s="127" t="s">
        <v>153</v>
      </c>
      <c r="L56" s="128" t="s">
        <v>154</v>
      </c>
      <c r="M56" s="129" t="s">
        <v>155</v>
      </c>
      <c r="N56" s="130" t="s">
        <v>156</v>
      </c>
      <c r="O56" s="131" t="s">
        <v>157</v>
      </c>
      <c r="P56" s="132" t="s">
        <v>25</v>
      </c>
      <c r="Q56" s="155"/>
      <c r="R56" s="139" t="s">
        <v>158</v>
      </c>
    </row>
    <row r="57" s="8" customFormat="1" ht="18.5" customHeight="1" spans="1:18">
      <c r="A57" s="19"/>
      <c r="B57" s="79" t="s">
        <v>159</v>
      </c>
      <c r="C57" s="79"/>
      <c r="D57" s="79"/>
      <c r="E57" s="65"/>
      <c r="F57" s="79"/>
      <c r="G57" s="65"/>
      <c r="H57" s="81" t="s">
        <v>160</v>
      </c>
      <c r="I57" s="133" t="s">
        <v>161</v>
      </c>
      <c r="J57" s="19"/>
      <c r="K57" s="134"/>
      <c r="L57" s="128"/>
      <c r="M57" s="128"/>
      <c r="N57" s="130"/>
      <c r="O57" s="135"/>
      <c r="P57" s="136" t="s">
        <v>162</v>
      </c>
      <c r="Q57" s="136" t="s">
        <v>163</v>
      </c>
      <c r="R57" s="139"/>
    </row>
    <row r="58" s="8" customFormat="1" ht="18.5" customHeight="1" spans="1:18">
      <c r="A58" s="19"/>
      <c r="B58" s="79" t="s">
        <v>164</v>
      </c>
      <c r="C58" s="65"/>
      <c r="D58" s="13" t="s">
        <v>165</v>
      </c>
      <c r="E58" s="13" t="s">
        <v>166</v>
      </c>
      <c r="F58" s="13" t="s">
        <v>167</v>
      </c>
      <c r="G58" s="13" t="s">
        <v>168</v>
      </c>
      <c r="H58" s="81"/>
      <c r="I58" s="81"/>
      <c r="J58" s="19"/>
      <c r="K58" s="137"/>
      <c r="L58" s="138"/>
      <c r="M58" s="139"/>
      <c r="N58" s="130"/>
      <c r="O58" s="139"/>
      <c r="P58" s="130"/>
      <c r="Q58" s="130"/>
      <c r="R58" s="139"/>
    </row>
    <row r="59" s="8" customFormat="1" ht="18.5" customHeight="1" spans="1:18">
      <c r="A59" s="19"/>
      <c r="B59" s="82" t="s">
        <v>169</v>
      </c>
      <c r="C59" s="82" t="s">
        <v>170</v>
      </c>
      <c r="D59" s="83"/>
      <c r="E59" s="83"/>
      <c r="F59" s="83"/>
      <c r="G59" s="83"/>
      <c r="H59" s="81"/>
      <c r="I59" s="81"/>
      <c r="J59" s="140"/>
      <c r="K59" s="141"/>
      <c r="L59" s="142"/>
      <c r="M59" s="139"/>
      <c r="N59" s="130"/>
      <c r="O59" s="139"/>
      <c r="P59" s="130"/>
      <c r="Q59" s="130"/>
      <c r="R59" s="139"/>
    </row>
    <row r="60" s="8" customFormat="1" ht="18.5" customHeight="1" spans="1:18">
      <c r="A60" s="19"/>
      <c r="B60" s="83"/>
      <c r="C60" s="84"/>
      <c r="D60" s="83"/>
      <c r="E60" s="83"/>
      <c r="F60" s="83"/>
      <c r="G60" s="83"/>
      <c r="H60" s="81"/>
      <c r="I60" s="81"/>
      <c r="J60" s="140"/>
      <c r="K60" s="141"/>
      <c r="L60" s="142"/>
      <c r="M60" s="139"/>
      <c r="N60" s="130"/>
      <c r="O60" s="139"/>
      <c r="P60" s="130"/>
      <c r="Q60" s="130"/>
      <c r="R60" s="139"/>
    </row>
    <row r="61" s="8" customFormat="1" ht="18.5" customHeight="1" spans="1:18">
      <c r="A61" s="19"/>
      <c r="B61" s="45" t="s">
        <v>40</v>
      </c>
      <c r="C61" s="45" t="s">
        <v>40</v>
      </c>
      <c r="D61" s="45" t="s">
        <v>39</v>
      </c>
      <c r="E61" s="45" t="s">
        <v>39</v>
      </c>
      <c r="F61" s="45" t="s">
        <v>39</v>
      </c>
      <c r="G61" s="45" t="s">
        <v>39</v>
      </c>
      <c r="H61" s="71" t="s">
        <v>171</v>
      </c>
      <c r="I61" s="71" t="s">
        <v>171</v>
      </c>
      <c r="J61" s="24" t="s">
        <v>172</v>
      </c>
      <c r="K61" s="143" t="s">
        <v>171</v>
      </c>
      <c r="L61" s="144" t="s">
        <v>173</v>
      </c>
      <c r="M61" s="144" t="s">
        <v>173</v>
      </c>
      <c r="N61" s="144" t="s">
        <v>173</v>
      </c>
      <c r="O61" s="144" t="s">
        <v>173</v>
      </c>
      <c r="P61" s="144" t="s">
        <v>40</v>
      </c>
      <c r="Q61" s="144" t="s">
        <v>173</v>
      </c>
      <c r="R61" s="156"/>
    </row>
    <row r="62" s="8" customFormat="1" ht="18.5" customHeight="1" spans="1:18">
      <c r="A62" s="16">
        <v>91</v>
      </c>
      <c r="B62" s="16">
        <f t="shared" ref="B62:R62" si="6">A62+1</f>
        <v>92</v>
      </c>
      <c r="C62" s="16">
        <f t="shared" si="6"/>
        <v>93</v>
      </c>
      <c r="D62" s="16">
        <f t="shared" si="6"/>
        <v>94</v>
      </c>
      <c r="E62" s="16">
        <f t="shared" si="6"/>
        <v>95</v>
      </c>
      <c r="F62" s="16">
        <f t="shared" si="6"/>
        <v>96</v>
      </c>
      <c r="G62" s="16">
        <f t="shared" si="6"/>
        <v>97</v>
      </c>
      <c r="H62" s="16">
        <f t="shared" si="6"/>
        <v>98</v>
      </c>
      <c r="I62" s="16">
        <f t="shared" si="6"/>
        <v>99</v>
      </c>
      <c r="J62" s="16">
        <f t="shared" si="6"/>
        <v>100</v>
      </c>
      <c r="K62" s="16">
        <f t="shared" si="6"/>
        <v>101</v>
      </c>
      <c r="L62" s="145">
        <f t="shared" si="6"/>
        <v>102</v>
      </c>
      <c r="M62" s="145">
        <f t="shared" si="6"/>
        <v>103</v>
      </c>
      <c r="N62" s="16">
        <f t="shared" si="6"/>
        <v>104</v>
      </c>
      <c r="O62" s="16">
        <f>Q62+1</f>
        <v>107</v>
      </c>
      <c r="P62" s="16">
        <f>N62+1</f>
        <v>105</v>
      </c>
      <c r="Q62" s="16">
        <f>P62+1</f>
        <v>106</v>
      </c>
      <c r="R62" s="16">
        <f>O62+1</f>
        <v>108</v>
      </c>
    </row>
    <row r="63" s="8" customFormat="1" ht="18.5" customHeight="1" spans="1:18">
      <c r="A63" s="16">
        <v>1</v>
      </c>
      <c r="B63" s="85">
        <v>4.94</v>
      </c>
      <c r="C63" s="86">
        <v>33.88</v>
      </c>
      <c r="D63" s="85">
        <v>0.78</v>
      </c>
      <c r="E63" s="86">
        <v>0.16</v>
      </c>
      <c r="F63" s="86">
        <v>1.42</v>
      </c>
      <c r="G63" s="86">
        <v>0.5</v>
      </c>
      <c r="H63" s="87">
        <f>4.8+19.2</f>
        <v>24</v>
      </c>
      <c r="I63" s="87">
        <v>105.6</v>
      </c>
      <c r="J63" s="146" t="s">
        <v>174</v>
      </c>
      <c r="K63" s="147">
        <v>22.84</v>
      </c>
      <c r="L63" s="148">
        <v>90</v>
      </c>
      <c r="M63" s="148">
        <v>81.2</v>
      </c>
      <c r="N63" s="149">
        <v>90.3</v>
      </c>
      <c r="O63" s="149">
        <v>90</v>
      </c>
      <c r="P63" s="149">
        <v>94.7</v>
      </c>
      <c r="Q63" s="149"/>
      <c r="R63" s="157">
        <v>40</v>
      </c>
    </row>
    <row r="64" s="8" customFormat="1" ht="18.5" customHeight="1"/>
    <row r="65" s="8" customFormat="1" ht="18.5" customHeight="1" spans="1:18">
      <c r="A65" s="13" t="s">
        <v>5</v>
      </c>
      <c r="B65" s="30" t="s">
        <v>175</v>
      </c>
      <c r="C65" s="18"/>
      <c r="D65" s="126"/>
      <c r="E65" s="18"/>
      <c r="F65" s="126"/>
      <c r="G65" s="30"/>
      <c r="H65" s="18"/>
      <c r="I65" s="18"/>
      <c r="J65" s="18"/>
      <c r="K65" s="18" t="s">
        <v>176</v>
      </c>
      <c r="L65" s="18"/>
      <c r="M65" s="18"/>
      <c r="N65" s="18"/>
      <c r="O65" s="18"/>
      <c r="P65" s="18"/>
      <c r="Q65" s="18"/>
      <c r="R65" s="30"/>
    </row>
    <row r="66" s="8" customFormat="1" ht="18.5" customHeight="1" spans="1:18">
      <c r="A66" s="19"/>
      <c r="B66" s="158" t="s">
        <v>177</v>
      </c>
      <c r="C66" s="159" t="s">
        <v>178</v>
      </c>
      <c r="D66" s="160"/>
      <c r="E66" s="22" t="s">
        <v>179</v>
      </c>
      <c r="F66" s="22" t="s">
        <v>180</v>
      </c>
      <c r="G66" s="161" t="s">
        <v>181</v>
      </c>
      <c r="H66" s="129" t="s">
        <v>182</v>
      </c>
      <c r="I66" s="139" t="s">
        <v>183</v>
      </c>
      <c r="J66" s="139" t="s">
        <v>184</v>
      </c>
      <c r="K66" s="22"/>
      <c r="L66" s="22"/>
      <c r="M66" s="164"/>
      <c r="N66" s="22"/>
      <c r="O66" s="164"/>
      <c r="P66" s="22"/>
      <c r="Q66" s="164"/>
      <c r="R66" s="164"/>
    </row>
    <row r="67" s="8" customFormat="1" ht="18.5" customHeight="1" spans="1:18">
      <c r="A67" s="19"/>
      <c r="B67" s="158" t="s">
        <v>185</v>
      </c>
      <c r="C67" s="158" t="s">
        <v>186</v>
      </c>
      <c r="D67" s="158" t="s">
        <v>187</v>
      </c>
      <c r="E67" s="22"/>
      <c r="F67" s="22"/>
      <c r="G67" s="95"/>
      <c r="H67" s="139"/>
      <c r="I67" s="95"/>
      <c r="J67" s="22"/>
      <c r="K67" s="95"/>
      <c r="L67" s="95"/>
      <c r="M67" s="22"/>
      <c r="N67" s="95"/>
      <c r="O67" s="22"/>
      <c r="P67" s="95"/>
      <c r="Q67" s="22"/>
      <c r="R67" s="22"/>
    </row>
    <row r="68" s="8" customFormat="1" ht="18.5" customHeight="1" spans="1:18">
      <c r="A68" s="19"/>
      <c r="B68" s="158" t="s">
        <v>188</v>
      </c>
      <c r="C68" s="158" t="s">
        <v>189</v>
      </c>
      <c r="D68" s="158" t="s">
        <v>159</v>
      </c>
      <c r="E68" s="22"/>
      <c r="F68" s="22"/>
      <c r="G68" s="22"/>
      <c r="H68" s="139" t="s">
        <v>190</v>
      </c>
      <c r="I68" s="22"/>
      <c r="J68" s="139" t="s">
        <v>191</v>
      </c>
      <c r="K68" s="22"/>
      <c r="L68" s="22"/>
      <c r="M68" s="22"/>
      <c r="N68" s="22"/>
      <c r="O68" s="22"/>
      <c r="P68" s="22"/>
      <c r="Q68" s="22"/>
      <c r="R68" s="22"/>
    </row>
    <row r="69" s="8" customFormat="1" ht="18.5" customHeight="1" spans="1:18">
      <c r="A69" s="19"/>
      <c r="B69" s="158" t="s">
        <v>192</v>
      </c>
      <c r="C69" s="158"/>
      <c r="D69" s="158" t="s">
        <v>193</v>
      </c>
      <c r="E69" s="22"/>
      <c r="F69" s="22"/>
      <c r="G69" s="22"/>
      <c r="H69" s="139"/>
      <c r="I69" s="22"/>
      <c r="J69" s="22"/>
      <c r="K69" s="22"/>
      <c r="L69" s="22"/>
      <c r="M69" s="22"/>
      <c r="N69" s="22"/>
      <c r="O69" s="22"/>
      <c r="P69" s="22"/>
      <c r="Q69" s="22"/>
      <c r="R69" s="22"/>
    </row>
    <row r="70" s="8" customFormat="1" ht="18.5" customHeight="1" spans="1:18">
      <c r="A70" s="19"/>
      <c r="B70" s="158"/>
      <c r="C70" s="158"/>
      <c r="D70" s="158"/>
      <c r="E70" s="22"/>
      <c r="F70" s="22"/>
      <c r="G70" s="22"/>
      <c r="H70" s="139"/>
      <c r="I70" s="22"/>
      <c r="J70" s="22"/>
      <c r="K70" s="22"/>
      <c r="L70" s="22"/>
      <c r="M70" s="22"/>
      <c r="N70" s="22"/>
      <c r="O70" s="22"/>
      <c r="P70" s="22"/>
      <c r="Q70" s="22"/>
      <c r="R70" s="22"/>
    </row>
    <row r="71" s="8" customFormat="1" ht="18.5" customHeight="1" spans="1:18">
      <c r="A71" s="19"/>
      <c r="B71" s="158" t="s">
        <v>194</v>
      </c>
      <c r="C71" s="158" t="s">
        <v>195</v>
      </c>
      <c r="D71" s="158" t="s">
        <v>195</v>
      </c>
      <c r="E71" s="162" t="s">
        <v>196</v>
      </c>
      <c r="F71" s="24" t="s">
        <v>171</v>
      </c>
      <c r="G71" s="45" t="s">
        <v>197</v>
      </c>
      <c r="H71" s="130" t="s">
        <v>85</v>
      </c>
      <c r="I71" s="130" t="s">
        <v>198</v>
      </c>
      <c r="J71" s="162" t="s">
        <v>196</v>
      </c>
      <c r="K71" s="162"/>
      <c r="L71" s="162"/>
      <c r="M71" s="162"/>
      <c r="N71" s="162"/>
      <c r="O71" s="162"/>
      <c r="P71" s="162"/>
      <c r="Q71" s="162"/>
      <c r="R71" s="162"/>
    </row>
    <row r="72" s="8" customFormat="1" ht="18.5" customHeight="1" spans="1:18">
      <c r="A72" s="16">
        <v>109</v>
      </c>
      <c r="B72" s="16">
        <f t="shared" ref="B72:G72" si="7">A72+1</f>
        <v>110</v>
      </c>
      <c r="C72" s="16">
        <f t="shared" si="7"/>
        <v>111</v>
      </c>
      <c r="D72" s="16">
        <f t="shared" si="7"/>
        <v>112</v>
      </c>
      <c r="E72" s="16">
        <f t="shared" si="7"/>
        <v>113</v>
      </c>
      <c r="F72" s="16">
        <f t="shared" si="7"/>
        <v>114</v>
      </c>
      <c r="G72" s="16">
        <f t="shared" si="7"/>
        <v>115</v>
      </c>
      <c r="H72" s="145">
        <v>116</v>
      </c>
      <c r="I72" s="145">
        <v>117</v>
      </c>
      <c r="J72" s="145">
        <v>118</v>
      </c>
      <c r="K72" s="16"/>
      <c r="L72" s="16"/>
      <c r="M72" s="16"/>
      <c r="N72" s="16"/>
      <c r="O72" s="16"/>
      <c r="P72" s="16"/>
      <c r="Q72" s="16"/>
      <c r="R72" s="16"/>
    </row>
    <row r="73" s="8" customFormat="1" ht="18.5" customHeight="1" spans="1:18">
      <c r="A73" s="16">
        <v>1</v>
      </c>
      <c r="B73" s="85">
        <f>9.5*26</f>
        <v>247</v>
      </c>
      <c r="C73" s="85">
        <f>26*9.5*0.3</f>
        <v>74.1</v>
      </c>
      <c r="D73" s="85">
        <f>C73*0.5</f>
        <v>37.05</v>
      </c>
      <c r="E73" s="85">
        <v>1</v>
      </c>
      <c r="F73" s="163">
        <v>624</v>
      </c>
      <c r="G73" s="123">
        <v>1</v>
      </c>
      <c r="H73" s="145">
        <v>100</v>
      </c>
      <c r="I73" s="145">
        <v>240</v>
      </c>
      <c r="J73" s="145">
        <v>1</v>
      </c>
      <c r="K73" s="16"/>
      <c r="L73" s="16"/>
      <c r="M73" s="16"/>
      <c r="N73" s="16"/>
      <c r="O73" s="16"/>
      <c r="P73" s="16"/>
      <c r="Q73" s="16"/>
      <c r="R73" s="16"/>
    </row>
    <row r="74" s="8" customFormat="1" ht="18.5" customHeight="1"/>
    <row r="75" s="8" customFormat="1" ht="18.5" customHeight="1" spans="1:18">
      <c r="A75" s="13" t="s">
        <v>5</v>
      </c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65"/>
      <c r="M75" s="18"/>
      <c r="N75" s="18"/>
      <c r="O75" s="18"/>
      <c r="P75" s="18"/>
      <c r="Q75" s="18"/>
      <c r="R75" s="30"/>
    </row>
    <row r="76" s="8" customFormat="1" ht="18.5" customHeight="1" spans="1:18">
      <c r="A76" s="19"/>
      <c r="B76" s="22"/>
      <c r="C76" s="164"/>
      <c r="D76" s="22"/>
      <c r="E76" s="164"/>
      <c r="F76" s="22"/>
      <c r="G76" s="22"/>
      <c r="H76" s="164"/>
      <c r="I76" s="22"/>
      <c r="J76" s="164"/>
      <c r="K76" s="22"/>
      <c r="L76" s="95"/>
      <c r="M76" s="22"/>
      <c r="N76" s="164"/>
      <c r="O76" s="22"/>
      <c r="P76" s="164"/>
      <c r="Q76" s="22"/>
      <c r="R76" s="164"/>
    </row>
    <row r="77" s="8" customFormat="1" ht="18.5" customHeight="1" spans="1:18">
      <c r="A77" s="19"/>
      <c r="B77" s="95"/>
      <c r="C77" s="22"/>
      <c r="D77" s="95"/>
      <c r="E77" s="22"/>
      <c r="F77" s="95"/>
      <c r="G77" s="95"/>
      <c r="H77" s="22"/>
      <c r="I77" s="95"/>
      <c r="J77" s="22"/>
      <c r="K77" s="95"/>
      <c r="L77" s="22"/>
      <c r="M77" s="95"/>
      <c r="N77" s="22"/>
      <c r="O77" s="95"/>
      <c r="P77" s="22"/>
      <c r="Q77" s="95"/>
      <c r="R77" s="22"/>
    </row>
    <row r="78" s="8" customFormat="1" ht="18.5" customHeight="1" spans="1:18">
      <c r="A78" s="19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44"/>
      <c r="M78" s="22"/>
      <c r="N78" s="22"/>
      <c r="O78" s="22"/>
      <c r="P78" s="22"/>
      <c r="Q78" s="22"/>
      <c r="R78" s="22"/>
    </row>
    <row r="79" s="8" customFormat="1" ht="18.5" customHeight="1" spans="1:18">
      <c r="A79" s="19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41"/>
      <c r="M79" s="22"/>
      <c r="N79" s="22"/>
      <c r="O79" s="22"/>
      <c r="P79" s="22"/>
      <c r="Q79" s="22"/>
      <c r="R79" s="22"/>
    </row>
    <row r="80" s="8" customFormat="1" ht="18.5" customHeight="1" spans="1:18">
      <c r="A80" s="19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41"/>
      <c r="M80" s="22"/>
      <c r="N80" s="22"/>
      <c r="O80" s="22"/>
      <c r="P80" s="22"/>
      <c r="Q80" s="22"/>
      <c r="R80" s="22"/>
    </row>
    <row r="81" s="8" customFormat="1" ht="18.5" customHeight="1" spans="1:18">
      <c r="A81" s="19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45"/>
      <c r="M81" s="162"/>
      <c r="N81" s="162"/>
      <c r="O81" s="162"/>
      <c r="P81" s="162"/>
      <c r="Q81" s="162"/>
      <c r="R81" s="162"/>
    </row>
    <row r="82" s="8" customFormat="1" ht="18.5" customHeight="1" spans="1:18">
      <c r="A82" s="16">
        <v>127</v>
      </c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</row>
    <row r="83" s="8" customFormat="1" ht="18.5" customHeight="1" spans="1:18">
      <c r="A83" s="16">
        <v>1</v>
      </c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6"/>
      <c r="M83" s="16"/>
      <c r="N83" s="16"/>
      <c r="O83" s="16"/>
      <c r="P83" s="16"/>
      <c r="Q83" s="16"/>
      <c r="R83" s="16"/>
    </row>
    <row r="84" s="8" customFormat="1" ht="18.5" customHeight="1" spans="1:18">
      <c r="A84" s="8" t="s">
        <v>114</v>
      </c>
      <c r="B84" s="12"/>
      <c r="I84" s="112" t="s">
        <v>115</v>
      </c>
      <c r="J84" s="12"/>
      <c r="Q84" s="112" t="s">
        <v>116</v>
      </c>
      <c r="R84" s="12"/>
    </row>
  </sheetData>
  <mergeCells count="42">
    <mergeCell ref="A1:Q1"/>
    <mergeCell ref="A2:F2"/>
    <mergeCell ref="N15:O15"/>
    <mergeCell ref="A43:Q43"/>
    <mergeCell ref="A44:F44"/>
    <mergeCell ref="C66:D66"/>
    <mergeCell ref="A3:A9"/>
    <mergeCell ref="A13:A19"/>
    <mergeCell ref="A23:A29"/>
    <mergeCell ref="A33:A39"/>
    <mergeCell ref="A45:A51"/>
    <mergeCell ref="A55:A61"/>
    <mergeCell ref="A65:A71"/>
    <mergeCell ref="A75:A81"/>
    <mergeCell ref="B3:B9"/>
    <mergeCell ref="B25:B26"/>
    <mergeCell ref="D3:D9"/>
    <mergeCell ref="E3:E9"/>
    <mergeCell ref="E35:E37"/>
    <mergeCell ref="F3:F9"/>
    <mergeCell ref="F47:F48"/>
    <mergeCell ref="G48:G50"/>
    <mergeCell ref="H36:H37"/>
    <mergeCell ref="H48:H49"/>
    <mergeCell ref="H57:H59"/>
    <mergeCell ref="I48:I49"/>
    <mergeCell ref="I57:I59"/>
    <mergeCell ref="J4:J5"/>
    <mergeCell ref="J48:J49"/>
    <mergeCell ref="J56:J58"/>
    <mergeCell ref="K48:K49"/>
    <mergeCell ref="K56:K57"/>
    <mergeCell ref="L6:L7"/>
    <mergeCell ref="L48:L49"/>
    <mergeCell ref="L56:L57"/>
    <mergeCell ref="M26:M27"/>
    <mergeCell ref="M48:M49"/>
    <mergeCell ref="O56:O57"/>
    <mergeCell ref="P15:P16"/>
    <mergeCell ref="P25:P27"/>
    <mergeCell ref="R5:R6"/>
    <mergeCell ref="R56:R57"/>
  </mergeCells>
  <pageMargins left="1.10236220472441" right="0.393700787401575" top="0.393700787401575" bottom="0.393700787401575" header="0" footer="0"/>
  <pageSetup paperSize="8" scale="95" orientation="landscape" blackAndWhite="1" horizontalDpi="1200" verticalDpi="1200"/>
  <headerFooter/>
  <rowBreaks count="1" manualBreakCount="1">
    <brk id="42" max="17" man="1"/>
  </rowBreaks>
  <ignoredErrors>
    <ignoredError sqref="E55:I5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I19:K52"/>
  <sheetViews>
    <sheetView topLeftCell="A4" workbookViewId="0">
      <selection activeCell="N19" sqref="N19"/>
    </sheetView>
  </sheetViews>
  <sheetFormatPr defaultColWidth="8.75" defaultRowHeight="14.25"/>
  <cols>
    <col min="10" max="10" width="37" customWidth="1"/>
    <col min="11" max="11" width="14.625" customWidth="1"/>
  </cols>
  <sheetData>
    <row r="19" spans="9:11">
      <c r="I19" s="3" t="s">
        <v>199</v>
      </c>
      <c r="J19" s="4"/>
      <c r="K19" s="3" t="s">
        <v>200</v>
      </c>
    </row>
    <row r="20" ht="15.75" spans="9:11">
      <c r="I20" s="3" t="s">
        <v>201</v>
      </c>
      <c r="J20" s="3"/>
      <c r="K20" s="3">
        <v>370.2276</v>
      </c>
    </row>
    <row r="21" ht="15.75" spans="9:11">
      <c r="I21" s="3">
        <v>1</v>
      </c>
      <c r="J21" s="3" t="s">
        <v>202</v>
      </c>
      <c r="K21" s="3">
        <v>41.0953</v>
      </c>
    </row>
    <row r="22" ht="15.75" spans="9:11">
      <c r="I22" s="3">
        <v>1.1</v>
      </c>
      <c r="J22" s="5" t="s">
        <v>203</v>
      </c>
      <c r="K22" s="3">
        <v>1.2325</v>
      </c>
    </row>
    <row r="23" ht="15.75" spans="9:11">
      <c r="I23" s="3">
        <v>1.2</v>
      </c>
      <c r="J23" s="5" t="s">
        <v>204</v>
      </c>
      <c r="K23" s="3">
        <v>39.8627</v>
      </c>
    </row>
    <row r="24" ht="15.75" spans="9:11">
      <c r="I24" s="3">
        <v>2</v>
      </c>
      <c r="J24" s="5" t="s">
        <v>205</v>
      </c>
      <c r="K24" s="6">
        <v>33.246</v>
      </c>
    </row>
    <row r="25" ht="15.75" spans="9:11">
      <c r="I25" s="3">
        <v>3</v>
      </c>
      <c r="J25" s="5" t="s">
        <v>206</v>
      </c>
      <c r="K25" s="6">
        <v>13.5422</v>
      </c>
    </row>
    <row r="26" ht="15.75" spans="9:11">
      <c r="I26" s="3">
        <v>4</v>
      </c>
      <c r="J26" s="3" t="s">
        <v>207</v>
      </c>
      <c r="K26" s="3">
        <f>SUM(K27:K32)</f>
        <v>254.9498</v>
      </c>
    </row>
    <row r="27" ht="15.75" spans="9:11">
      <c r="I27" s="3">
        <v>4.1</v>
      </c>
      <c r="J27" s="6" t="s">
        <v>208</v>
      </c>
      <c r="K27" s="6">
        <v>1.8633</v>
      </c>
    </row>
    <row r="28" ht="15.75" spans="9:11">
      <c r="I28" s="3">
        <v>4.2</v>
      </c>
      <c r="J28" s="6" t="s">
        <v>209</v>
      </c>
      <c r="K28" s="6">
        <v>92.7108</v>
      </c>
    </row>
    <row r="29" ht="15.75" spans="9:11">
      <c r="I29" s="3">
        <v>4.3</v>
      </c>
      <c r="J29" s="6" t="s">
        <v>44</v>
      </c>
      <c r="K29" s="6">
        <v>22.7351</v>
      </c>
    </row>
    <row r="30" ht="15.75" spans="9:11">
      <c r="I30" s="3">
        <v>4.4</v>
      </c>
      <c r="J30" s="6" t="s">
        <v>210</v>
      </c>
      <c r="K30" s="6">
        <v>83.9275</v>
      </c>
    </row>
    <row r="31" ht="15.75" spans="9:11">
      <c r="I31" s="3">
        <v>4.5</v>
      </c>
      <c r="J31" s="6" t="s">
        <v>211</v>
      </c>
      <c r="K31" s="6">
        <v>19.8574</v>
      </c>
    </row>
    <row r="32" ht="15.75" spans="9:11">
      <c r="I32" s="3">
        <v>4.6</v>
      </c>
      <c r="J32" s="6" t="s">
        <v>212</v>
      </c>
      <c r="K32" s="6">
        <v>33.8557</v>
      </c>
    </row>
    <row r="33" ht="15.75" spans="9:11">
      <c r="I33" s="3">
        <v>5</v>
      </c>
      <c r="J33" s="5" t="s">
        <v>213</v>
      </c>
      <c r="K33" s="6">
        <v>4.1757</v>
      </c>
    </row>
    <row r="34" ht="15.75" spans="9:11">
      <c r="I34" s="3">
        <v>6</v>
      </c>
      <c r="J34" s="3" t="s">
        <v>214</v>
      </c>
      <c r="K34" s="6">
        <v>7.6908</v>
      </c>
    </row>
    <row r="35" ht="15.75" spans="9:11">
      <c r="I35" s="3">
        <v>7</v>
      </c>
      <c r="J35" s="5" t="s">
        <v>215</v>
      </c>
      <c r="K35" s="6">
        <v>2</v>
      </c>
    </row>
    <row r="36" ht="15.75" spans="9:11">
      <c r="I36" s="3">
        <v>6</v>
      </c>
      <c r="J36" s="3" t="s">
        <v>216</v>
      </c>
      <c r="K36" s="3">
        <f>K37+K38</f>
        <v>13.5278</v>
      </c>
    </row>
    <row r="37" ht="15.75" spans="9:11">
      <c r="I37" s="3">
        <v>6.1</v>
      </c>
      <c r="J37" s="3" t="s">
        <v>217</v>
      </c>
      <c r="K37" s="6">
        <v>8.0565</v>
      </c>
    </row>
    <row r="38" ht="15.75" spans="9:11">
      <c r="I38" s="3">
        <v>6.2</v>
      </c>
      <c r="J38" s="3" t="s">
        <v>218</v>
      </c>
      <c r="K38" s="3">
        <v>5.4713</v>
      </c>
    </row>
    <row r="39" ht="15.75" spans="9:11">
      <c r="I39" s="5" t="s">
        <v>219</v>
      </c>
      <c r="J39" s="3"/>
      <c r="K39" s="6">
        <v>2.72</v>
      </c>
    </row>
    <row r="40" ht="15.75" spans="9:11">
      <c r="I40" s="3" t="s">
        <v>220</v>
      </c>
      <c r="J40" s="3"/>
      <c r="K40" s="3">
        <f>K41+K45+K48+K49+K50</f>
        <v>63.0314</v>
      </c>
    </row>
    <row r="41" ht="15.75" spans="9:11">
      <c r="I41" s="3">
        <v>1</v>
      </c>
      <c r="J41" s="5" t="s">
        <v>221</v>
      </c>
      <c r="K41" s="3">
        <f>K42+K43+K44</f>
        <v>18.1323</v>
      </c>
    </row>
    <row r="42" ht="15.75" spans="9:11">
      <c r="I42" s="3">
        <v>1.1</v>
      </c>
      <c r="J42" s="5" t="s">
        <v>222</v>
      </c>
      <c r="K42" s="6">
        <v>1.9</v>
      </c>
    </row>
    <row r="43" ht="15.75" spans="9:11">
      <c r="I43" s="3">
        <v>1.2</v>
      </c>
      <c r="J43" s="5" t="s">
        <v>223</v>
      </c>
      <c r="K43" s="3">
        <v>13.2323</v>
      </c>
    </row>
    <row r="44" ht="15.75" spans="9:11">
      <c r="I44" s="3">
        <v>1.3</v>
      </c>
      <c r="J44" s="5" t="s">
        <v>224</v>
      </c>
      <c r="K44" s="6">
        <v>3</v>
      </c>
    </row>
    <row r="45" ht="15.75" spans="9:11">
      <c r="I45" s="3">
        <v>2</v>
      </c>
      <c r="J45" s="5" t="s">
        <v>225</v>
      </c>
      <c r="K45" s="3">
        <f>K46+K47</f>
        <v>33.4181</v>
      </c>
    </row>
    <row r="46" ht="15.75" spans="9:11">
      <c r="I46" s="3">
        <v>2.1</v>
      </c>
      <c r="J46" s="5" t="s">
        <v>226</v>
      </c>
      <c r="K46" s="3">
        <v>14.3683</v>
      </c>
    </row>
    <row r="47" ht="15.75" spans="9:11">
      <c r="I47" s="3">
        <v>2.2</v>
      </c>
      <c r="J47" s="5" t="s">
        <v>227</v>
      </c>
      <c r="K47" s="3">
        <v>19.0498</v>
      </c>
    </row>
    <row r="48" ht="15.75" spans="9:11">
      <c r="I48" s="3">
        <v>3</v>
      </c>
      <c r="J48" s="5" t="s">
        <v>228</v>
      </c>
      <c r="K48" s="6">
        <v>9.0001</v>
      </c>
    </row>
    <row r="49" ht="15.75" spans="9:11">
      <c r="I49" s="3">
        <v>4</v>
      </c>
      <c r="J49" s="5" t="s">
        <v>229</v>
      </c>
      <c r="K49" s="6">
        <v>1</v>
      </c>
    </row>
    <row r="50" ht="15.75" spans="9:11">
      <c r="I50" s="3">
        <v>5</v>
      </c>
      <c r="J50" s="5" t="s">
        <v>230</v>
      </c>
      <c r="K50" s="3">
        <v>1.4809</v>
      </c>
    </row>
    <row r="51" ht="15.75" spans="9:11">
      <c r="I51" s="3" t="s">
        <v>231</v>
      </c>
      <c r="J51" s="3"/>
      <c r="K51" s="3">
        <v>0</v>
      </c>
    </row>
    <row r="52" ht="15.75" spans="9:11">
      <c r="I52" s="3" t="s">
        <v>232</v>
      </c>
      <c r="J52" s="3"/>
      <c r="K52" s="6">
        <f>K51+K40+K39+K20</f>
        <v>435.979</v>
      </c>
    </row>
  </sheetData>
  <mergeCells count="6">
    <mergeCell ref="I19:J19"/>
    <mergeCell ref="I20:J20"/>
    <mergeCell ref="I39:J39"/>
    <mergeCell ref="I40:J40"/>
    <mergeCell ref="I51:J51"/>
    <mergeCell ref="I52:J52"/>
  </mergeCells>
  <pageMargins left="0.75" right="0.75" top="1" bottom="1" header="0.5" footer="0.5"/>
  <pageSetup paperSize="9" orientation="portrait"/>
  <headerFooter/>
  <ignoredErrors>
    <ignoredError sqref="K26" formulaRange="1"/>
  </ignoredErrors>
  <drawing r:id="rId1"/>
  <legacyDrawing r:id="rId2"/>
  <oleObjects>
    <mc:AlternateContent xmlns:mc="http://schemas.openxmlformats.org/markup-compatibility/2006">
      <mc:Choice Requires="x14">
        <oleObject shapeId="1025" progId="Excel.Sheet.12" r:id="rId3">
          <objectPr defaultSize="0" r:id="rId4">
            <anchor moveWithCells="1" sizeWithCells="1">
              <from>
                <xdr:col>13</xdr:col>
                <xdr:colOff>0</xdr:colOff>
                <xdr:row>18</xdr:row>
                <xdr:rowOff>0</xdr:rowOff>
              </from>
              <to>
                <xdr:col>21</xdr:col>
                <xdr:colOff>290195</xdr:colOff>
                <xdr:row>30</xdr:row>
                <xdr:rowOff>163830</xdr:rowOff>
              </to>
            </anchor>
          </objectPr>
        </oleObject>
      </mc:Choice>
      <mc:Fallback>
        <oleObject shapeId="1025" progId="Excel.Sheet.12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30" sqref="G30"/>
    </sheetView>
  </sheetViews>
  <sheetFormatPr defaultColWidth="8.8" defaultRowHeight="14.25"/>
  <cols>
    <col min="10" max="10" width="9.5"/>
    <col min="12" max="12" width="12.8"/>
    <col min="13" max="13" width="11.6"/>
  </cols>
  <sheetData>
    <row r="1" ht="33" customHeight="1" spans="1:1">
      <c r="A1" t="s">
        <v>233</v>
      </c>
    </row>
  </sheetData>
  <pageMargins left="0.75" right="0.75" top="1" bottom="1" header="0.5" footer="0.5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5:E38"/>
  <sheetViews>
    <sheetView workbookViewId="0">
      <selection activeCell="E39" sqref="E39"/>
    </sheetView>
  </sheetViews>
  <sheetFormatPr defaultColWidth="9" defaultRowHeight="14.25" outlineLevelCol="4"/>
  <cols>
    <col min="4" max="4" width="9.375"/>
    <col min="5" max="5" width="12.625"/>
  </cols>
  <sheetData>
    <row r="35" spans="3:5">
      <c r="C35" t="s">
        <v>234</v>
      </c>
      <c r="D35" t="s">
        <v>235</v>
      </c>
      <c r="E35" t="s">
        <v>236</v>
      </c>
    </row>
    <row r="36" spans="2:5">
      <c r="B36" t="s">
        <v>237</v>
      </c>
      <c r="C36">
        <f>'那笔小桥（方案2.25）'!F31</f>
        <v>112.8</v>
      </c>
      <c r="D36" s="2">
        <f>(C36+C37+C38)*26</f>
        <v>4117.724</v>
      </c>
      <c r="E36" s="2">
        <f>D36/12/2</f>
        <v>171.571833333333</v>
      </c>
    </row>
    <row r="37" spans="2:5">
      <c r="B37" t="s">
        <v>238</v>
      </c>
      <c r="C37">
        <f>0.384*13*2</f>
        <v>9.984</v>
      </c>
      <c r="D37" s="2"/>
      <c r="E37" s="2"/>
    </row>
    <row r="38" spans="2:5">
      <c r="B38" t="s">
        <v>239</v>
      </c>
      <c r="C38">
        <v>35.59</v>
      </c>
      <c r="D38" s="2"/>
      <c r="E38" s="2"/>
    </row>
  </sheetData>
  <mergeCells count="2">
    <mergeCell ref="D36:D38"/>
    <mergeCell ref="E36:E38"/>
  </mergeCells>
  <pageMargins left="0.75" right="0.75" top="1" bottom="1" header="0.5" footer="0.5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C13"/>
  <sheetViews>
    <sheetView workbookViewId="0">
      <selection activeCell="B11" sqref="B11"/>
    </sheetView>
  </sheetViews>
  <sheetFormatPr defaultColWidth="9" defaultRowHeight="14.25" outlineLevelCol="2"/>
  <cols>
    <col min="1" max="1" width="20.75" customWidth="1"/>
    <col min="2" max="2" width="10.25" customWidth="1"/>
  </cols>
  <sheetData>
    <row r="3" spans="1:3">
      <c r="A3" t="s">
        <v>240</v>
      </c>
      <c r="B3">
        <v>1751636</v>
      </c>
      <c r="C3" t="s">
        <v>241</v>
      </c>
    </row>
    <row r="4" spans="1:3">
      <c r="A4" t="s">
        <v>242</v>
      </c>
      <c r="B4">
        <v>332164</v>
      </c>
      <c r="C4" t="s">
        <v>241</v>
      </c>
    </row>
    <row r="5" spans="1:3">
      <c r="A5" t="s">
        <v>89</v>
      </c>
      <c r="B5">
        <v>25302</v>
      </c>
      <c r="C5" t="s">
        <v>241</v>
      </c>
    </row>
    <row r="6" spans="1:3">
      <c r="A6" t="s">
        <v>243</v>
      </c>
      <c r="B6">
        <f>B3-B4-B5</f>
        <v>1394170</v>
      </c>
      <c r="C6" t="s">
        <v>241</v>
      </c>
    </row>
    <row r="8" spans="1:3">
      <c r="A8" t="s">
        <v>244</v>
      </c>
      <c r="B8">
        <v>1500000</v>
      </c>
      <c r="C8" t="s">
        <v>241</v>
      </c>
    </row>
    <row r="9" spans="1:3">
      <c r="A9" t="s">
        <v>245</v>
      </c>
      <c r="B9">
        <f>B8-B6</f>
        <v>105830</v>
      </c>
      <c r="C9" t="s">
        <v>241</v>
      </c>
    </row>
    <row r="10" spans="1:3">
      <c r="A10" t="s">
        <v>246</v>
      </c>
      <c r="B10" s="1">
        <v>250</v>
      </c>
      <c r="C10" t="s">
        <v>247</v>
      </c>
    </row>
    <row r="11" spans="1:3">
      <c r="A11" t="s">
        <v>248</v>
      </c>
      <c r="B11">
        <f>B9/B10</f>
        <v>423.32</v>
      </c>
      <c r="C11" t="s">
        <v>249</v>
      </c>
    </row>
    <row r="12" spans="1:3">
      <c r="A12" t="s">
        <v>250</v>
      </c>
      <c r="B12" s="1">
        <v>4.5</v>
      </c>
      <c r="C12" t="s">
        <v>251</v>
      </c>
    </row>
    <row r="13" spans="1:3">
      <c r="A13" t="s">
        <v>252</v>
      </c>
      <c r="B13">
        <f>B11/B12</f>
        <v>94.0711111111111</v>
      </c>
      <c r="C13" t="s">
        <v>251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bridge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那笔小桥（方案2.25）</vt:lpstr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weidj</dc:creator>
  <cp:lastModifiedBy>玄灵轩</cp:lastModifiedBy>
  <dcterms:created xsi:type="dcterms:W3CDTF">2007-06-05T03:29:00Z</dcterms:created>
  <cp:lastPrinted>2022-12-05T11:42:00Z</cp:lastPrinted>
  <dcterms:modified xsi:type="dcterms:W3CDTF">2025-04-10T03:20:59Z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7FE047B4395D4D03920828CB96E47D63</vt:lpwstr>
  </property>
  <property fmtid="{D5CDD505-2E9C-101B-9397-08002B2CF9AE}" pid="3" name="KSOProductBuildVer">
    <vt:lpwstr>2052-12.1.0.20305</vt:lpwstr>
  </property>
</Properties>
</file>